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S_MaKo_EDM\Homepage\SWSE\Standardlastprofile\"/>
    </mc:Choice>
  </mc:AlternateContent>
  <xr:revisionPtr revIDLastSave="0" documentId="13_ncr:1_{3C24F087-B436-4B27-A90C-7B818F21CD63}" xr6:coauthVersionLast="47" xr6:coauthVersionMax="47" xr10:uidLastSave="{00000000-0000-0000-0000-000000000000}"/>
  <bookViews>
    <workbookView xWindow="28680" yWindow="-120" windowWidth="29040" windowHeight="1572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externalReferences>
    <externalReference r:id="rId10"/>
  </externalReference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6" i="7"/>
  <c r="E5" i="17"/>
  <c r="D6" i="15"/>
  <c r="E4" i="17" l="1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K63" i="18"/>
  <c r="E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D66" i="18" l="1"/>
  <c r="J21" i="18"/>
  <c r="E21" i="18" s="1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F55" i="18"/>
  <c r="F70" i="17"/>
  <c r="G70" i="17"/>
  <c r="H70" i="17"/>
  <c r="I70" i="17"/>
  <c r="J70" i="17"/>
  <c r="K70" i="17"/>
  <c r="L70" i="17"/>
  <c r="M70" i="17"/>
  <c r="N70" i="17"/>
  <c r="E70" i="17"/>
  <c r="I55" i="18" l="1"/>
  <c r="M55" i="18"/>
  <c r="H55" i="18"/>
  <c r="L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S12" i="7"/>
  <c r="T12" i="7"/>
  <c r="U12" i="7"/>
  <c r="V12" i="7"/>
  <c r="W12" i="7"/>
  <c r="R12" i="7"/>
  <c r="X12" i="7" l="1"/>
  <c r="X21" i="7"/>
  <c r="X13" i="7"/>
  <c r="X11" i="7"/>
  <c r="X24" i="7"/>
  <c r="X23" i="7"/>
  <c r="X20" i="7"/>
  <c r="X16" i="7"/>
  <c r="X15" i="7"/>
  <c r="X17" i="7"/>
  <c r="X22" i="7"/>
  <c r="X18" i="7"/>
  <c r="X14" i="7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C7" i="1" l="1"/>
  <c r="J8" i="7"/>
  <c r="D8" i="7"/>
  <c r="D8" i="15"/>
  <c r="E5" i="18" l="1"/>
  <c r="C4" i="1"/>
  <c r="C6" i="1"/>
  <c r="D5" i="7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19" i="7" s="1"/>
  <c r="H21" i="4"/>
  <c r="V19" i="7" s="1"/>
  <c r="G21" i="4"/>
  <c r="U19" i="7" s="1"/>
  <c r="F21" i="4"/>
  <c r="T19" i="7" s="1"/>
  <c r="E21" i="4"/>
  <c r="S19" i="7" s="1"/>
  <c r="D21" i="4"/>
  <c r="R19" i="7" s="1"/>
  <c r="M20" i="4"/>
  <c r="M19" i="4"/>
  <c r="M16" i="4"/>
  <c r="M18" i="4"/>
  <c r="M17" i="4"/>
  <c r="M15" i="4"/>
  <c r="M14" i="4"/>
  <c r="M13" i="4"/>
  <c r="M12" i="4"/>
  <c r="M11" i="4"/>
  <c r="X19" i="7" l="1"/>
  <c r="C11" i="8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L12" i="7"/>
  <c r="H12" i="7"/>
  <c r="I11" i="7"/>
  <c r="F23" i="7"/>
  <c r="F21" i="7"/>
  <c r="F19" i="7"/>
  <c r="F17" i="7"/>
  <c r="F15" i="7"/>
  <c r="F12" i="7"/>
  <c r="F24" i="7"/>
  <c r="F22" i="7"/>
  <c r="F20" i="7"/>
  <c r="F18" i="7"/>
  <c r="F16" i="7"/>
  <c r="F14" i="7"/>
  <c r="F13" i="7"/>
  <c r="F11" i="7"/>
  <c r="M8" i="4"/>
  <c r="M7" i="4"/>
  <c r="Q18" i="7" l="1"/>
  <c r="Q13" i="7"/>
  <c r="Q15" i="7"/>
  <c r="Q11" i="7"/>
  <c r="Q20" i="7"/>
  <c r="Q12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<sst xmlns="http://schemas.openxmlformats.org/spreadsheetml/2006/main" count="1390" uniqueCount="678">
  <si>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</si>
  <si>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</si>
  <si>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</si>
  <si>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</si>
  <si>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</si>
  <si>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</si>
  <si>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</si>
  <si>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</si>
  <si>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</si>
  <si>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</si>
  <si>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</si>
  <si>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</si>
  <si>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</si>
  <si>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</si>
  <si>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</si>
  <si>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</si>
  <si>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</si>
  <si>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</si>
  <si>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</si>
  <si>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</si>
  <si>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</si>
  <si>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</si>
  <si>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</si>
  <si>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</si>
  <si>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</si>
  <si>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</si>
  <si>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</si>
  <si>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</si>
  <si>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</si>
  <si>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</si>
  <si>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</si>
  <si>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</si>
  <si>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</si>
  <si>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</si>
  <si>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</si>
  <si>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</si>
  <si>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</si>
  <si>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</si>
  <si>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</si>
  <si>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</si>
  <si>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</si>
  <si>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</si>
  <si>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</si>
  <si>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</si>
  <si>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</si>
  <si>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</si>
  <si>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</si>
  <si>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</si>
  <si>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</si>
  <si>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</si>
  <si>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</si>
  <si>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</si>
  <si>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</si>
  <si>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</si>
  <si>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</si>
  <si>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</si>
  <si>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</si>
  <si>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</si>
  <si>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</si>
  <si>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</si>
  <si>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</si>
  <si>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</si>
  <si>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</si>
  <si>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</si>
  <si>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</si>
  <si>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</si>
  <si>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</si>
  <si>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</si>
  <si>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</si>
  <si>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</si>
  <si>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</si>
  <si>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</si>
  <si>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</si>
  <si>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</si>
  <si>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</si>
  <si>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</si>
  <si>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</si>
  <si>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</si>
  <si>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</si>
  <si>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</si>
  <si>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</si>
  <si>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</si>
  <si>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</si>
  <si>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</si>
  <si>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</si>
  <si>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</si>
  <si>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</si>
  <si>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</si>
  <si>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</si>
  <si>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</si>
  <si>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</si>
  <si>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</si>
  <si>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</si>
  <si>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</si>
  <si>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</si>
  <si>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</si>
  <si>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</si>
  <si>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</si>
  <si>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</si>
  <si>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</si>
  <si>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</si>
  <si>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</si>
  <si>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</si>
  <si>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</si>
  <si>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</si>
  <si>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</si>
  <si>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</si>
  <si>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</si>
  <si>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</si>
  <si>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</si>
  <si>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</si>
  <si>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</si>
  <si>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</si>
  <si>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</si>
  <si>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</si>
  <si>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</si>
  <si>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</si>
  <si>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</si>
  <si>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</si>
  <si>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</si>
  <si>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</si>
  <si>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</si>
  <si>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</si>
  <si>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</si>
  <si>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</si>
  <si>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</si>
  <si>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</si>
  <si>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</si>
  <si>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</si>
  <si>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</si>
  <si>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</si>
  <si>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</si>
  <si>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</si>
  <si>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</si>
  <si>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</si>
  <si>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</si>
  <si>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</si>
  <si>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</si>
  <si>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</si>
  <si>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</si>
  <si>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</si>
  <si>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</si>
  <si>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</si>
  <si>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</si>
  <si>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</si>
  <si>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</si>
  <si>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</si>
  <si>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</si>
  <si>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</si>
  <si>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</si>
  <si>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</si>
  <si>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</si>
  <si>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</si>
  <si>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</si>
  <si>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</si>
  <si>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</si>
  <si>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</si>
  <si>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</si>
  <si>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</si>
  <si>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</si>
  <si>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</si>
  <si>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</si>
  <si>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</si>
  <si>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</si>
  <si>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</si>
  <si>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</si>
  <si>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</si>
  <si>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</si>
  <si>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</si>
  <si>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</si>
  <si>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</si>
  <si>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</si>
  <si>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</si>
  <si>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</si>
  <si>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</si>
  <si>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</si>
  <si>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</si>
  <si>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</si>
  <si>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</si>
  <si>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</si>
  <si>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</si>
  <si>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</si>
  <si>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</si>
  <si>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</si>
  <si>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</si>
  <si>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</si>
  <si>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</si>
  <si>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</si>
  <si>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</si>
  <si>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</si>
  <si>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</si>
  <si>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</si>
  <si>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</si>
  <si>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</si>
  <si>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</si>
  <si>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</si>
  <si>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</si>
  <si>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</si>
  <si>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</si>
  <si>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</si>
  <si>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</si>
  <si>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</si>
  <si>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</si>
  <si>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</si>
  <si>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</si>
  <si>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</si>
  <si>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</si>
  <si>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</si>
  <si>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</si>
  <si>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</si>
  <si>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</si>
  <si>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</si>
  <si>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</si>
  <si>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</si>
  <si>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</si>
  <si>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</si>
  <si>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</si>
  <si>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</si>
  <si>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</si>
  <si>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</si>
  <si>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</si>
  <si>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</si>
  <si>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</si>
  <si>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</si>
  <si>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</si>
  <si>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</si>
  <si>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</si>
  <si>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</si>
  <si>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</si>
  <si>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</si>
  <si>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</si>
  <si>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</si>
  <si>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</si>
  <si>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</si>
  <si>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</si>
  <si>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</si>
  <si>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</si>
  <si>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</si>
  <si>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</si>
  <si>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</si>
  <si>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</si>
  <si>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</si>
  <si>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</si>
  <si>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</si>
  <si>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</si>
  <si>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</si>
  <si>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</si>
  <si>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</si>
  <si>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</si>
  <si>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</si>
  <si>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</si>
  <si>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</si>
  <si>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</si>
  <si>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</si>
  <si>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</si>
  <si>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</si>
  <si>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</si>
  <si>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</si>
  <si>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</si>
  <si>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</si>
  <si>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</si>
  <si>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</si>
  <si>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</si>
  <si>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</si>
  <si>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</si>
  <si>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</si>
  <si>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</si>
  <si>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</si>
  <si>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</si>
  <si>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</si>
  <si>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</si>
  <si>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</si>
  <si>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</si>
  <si>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</si>
  <si>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</si>
  <si>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</si>
  <si>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</si>
  <si>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</si>
  <si>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</si>
  <si>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</si>
  <si>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</si>
  <si>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</si>
  <si>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</si>
  <si>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</si>
  <si>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</si>
  <si>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</si>
  <si>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</si>
  <si>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</si>
  <si>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</si>
  <si>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</si>
  <si>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</si>
  <si>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</si>
  <si>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</si>
  <si>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</si>
  <si>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</si>
  <si>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</si>
  <si>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</si>
  <si>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</si>
  <si>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</si>
  <si>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</si>
  <si>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</si>
  <si>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</si>
  <si>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</si>
  <si>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</si>
  <si>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</si>
  <si>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</si>
  <si>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</si>
  <si>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</si>
  <si>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</si>
  <si>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</si>
  <si>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</si>
  <si>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</si>
  <si>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</si>
  <si>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</si>
  <si>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</si>
  <si>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</si>
  <si>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</si>
  <si>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</si>
  <si>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</si>
  <si>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</si>
  <si>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</si>
  <si>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</si>
  <si>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</si>
  <si>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</si>
  <si>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</si>
  <si>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</si>
  <si>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</si>
  <si>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</si>
  <si>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</si>
  <si>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</si>
  <si>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</si>
  <si>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</si>
  <si>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</si>
  <si>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</si>
  <si>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</si>
  <si>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</si>
  <si>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</si>
  <si>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</si>
  <si>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</si>
  <si>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</si>
  <si>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</si>
  <si>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</si>
  <si>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</si>
  <si>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</si>
  <si>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</si>
  <si>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</si>
  <si>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</si>
  <si>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</si>
  <si>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</si>
  <si>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</si>
  <si>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</si>
  <si>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</si>
  <si>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</si>
  <si>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</si>
  <si>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</si>
  <si>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</si>
  <si>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</si>
  <si>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</si>
  <si>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</si>
  <si>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</si>
  <si>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</si>
  <si>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</si>
  <si>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</si>
  <si>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</si>
  <si>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</si>
  <si>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</si>
  <si>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</si>
  <si>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</si>
  <si>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</si>
  <si>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</si>
  <si>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</si>
  <si>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</si>
  <si>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</si>
  <si>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</si>
  <si>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</si>
  <si>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</si>
  <si>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</si>
  <si>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</si>
  <si>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</si>
  <si>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</si>
  <si>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</si>
  <si>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</si>
  <si>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</si>
  <si>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</si>
  <si>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</si>
  <si>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</si>
  <si>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</si>
  <si>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</si>
  <si>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</si>
  <si>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</si>
  <si>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</si>
  <si>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</si>
  <si>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</si>
  <si>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</si>
  <si>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</si>
  <si>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</si>
  <si>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</si>
  <si>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</si>
  <si>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</si>
  <si>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</si>
  <si>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</si>
  <si>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</si>
  <si>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</si>
  <si>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</si>
  <si>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</si>
  <si>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</si>
  <si>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</si>
  <si>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</si>
  <si>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</si>
  <si>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</si>
  <si>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</si>
  <si>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</si>
  <si>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</si>
  <si>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</si>
  <si>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</si>
  <si>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</si>
  <si>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</si>
  <si>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</si>
  <si>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</si>
  <si>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</si>
  <si>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</si>
  <si>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</si>
  <si>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</si>
  <si>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</si>
  <si>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</si>
  <si>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</si>
  <si>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</si>
  <si>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</si>
  <si>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</si>
  <si>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</si>
  <si>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</si>
  <si>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</si>
  <si>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</si>
  <si>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</si>
  <si>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</si>
  <si>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</si>
  <si>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</si>
  <si>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</si>
  <si>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</si>
  <si>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</si>
  <si>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</si>
  <si>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</si>
  <si>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</si>
  <si>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</si>
  <si>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</si>
  <si>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</si>
  <si>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</si>
  <si>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</si>
  <si>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</si>
  <si>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</si>
  <si>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</si>
  <si>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</si>
  <si>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</si>
  <si>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</si>
  <si>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</si>
  <si>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</si>
  <si>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</si>
  <si>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</si>
  <si>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</si>
  <si>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</si>
  <si>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</si>
  <si>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</si>
  <si>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</si>
  <si>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</si>
  <si>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</si>
  <si>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</si>
  <si>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</si>
  <si>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</si>
  <si>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</si>
  <si>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</si>
  <si>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</si>
  <si>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</si>
  <si>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</si>
  <si>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</si>
  <si>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</si>
  <si>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</si>
  <si>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</si>
  <si>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</si>
  <si>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</si>
  <si>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</si>
  <si>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</si>
  <si>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</si>
  <si>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</si>
  <si>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</si>
  <si>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</si>
  <si>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</si>
  <si>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</si>
  <si>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</si>
  <si>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</si>
  <si>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</si>
  <si>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</si>
  <si>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</si>
  <si>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</si>
  <si>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</si>
  <si>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</si>
  <si>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</si>
  <si>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</si>
  <si>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</si>
  <si>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</si>
  <si>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</si>
  <si>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</si>
  <si>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</si>
  <si>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</si>
  <si>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</si>
  <si>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</si>
  <si>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</si>
  <si>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</si>
  <si>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</si>
  <si>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</si>
  <si>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</si>
  <si>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</si>
  <si>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</si>
  <si>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</si>
  <si>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</si>
  <si>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</si>
  <si>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</si>
  <si>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</si>
  <si>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</si>
  <si>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</si>
  <si>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</si>
  <si>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</si>
  <si>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</si>
  <si>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</si>
  <si>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</si>
  <si>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</si>
  <si>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</si>
  <si>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</si>
  <si>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</si>
  <si>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</si>
  <si>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</si>
  <si>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</si>
  <si>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</si>
  <si>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</si>
  <si>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</si>
  <si>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</si>
  <si>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</si>
  <si>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</si>
  <si>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</si>
  <si>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</si>
  <si>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</si>
  <si>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</si>
  <si>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</si>
  <si>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</si>
  <si>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</si>
  <si>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</si>
  <si>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</si>
  <si>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</si>
  <si>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</si>
  <si>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</si>
  <si>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</si>
  <si>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</si>
  <si>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</si>
  <si>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</si>
  <si>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</si>
  <si>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</si>
  <si>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</si>
  <si>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</si>
  <si>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</si>
  <si>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</si>
  <si>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</si>
  <si>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</si>
  <si>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</si>
  <si>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</si>
  <si>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</si>
  <si>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</si>
  <si>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</si>
  <si>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</si>
  <si>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</si>
  <si>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</si>
  <si>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</si>
  <si>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</si>
  <si>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</si>
  <si>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</si>
  <si>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</si>
  <si>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</si>
  <si>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</si>
  <si>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</si>
  <si>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</si>
  <si>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</si>
  <si>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</si>
  <si>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</si>
  <si>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</si>
  <si>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</si>
  <si>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</si>
  <si>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</si>
  <si>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</si>
  <si>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</si>
  <si>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</si>
  <si>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</si>
  <si>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</si>
  <si>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</si>
  <si>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</si>
  <si>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</si>
  <si>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</si>
  <si>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</si>
  <si>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</si>
  <si>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</si>
  <si>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</si>
  <si>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</si>
  <si>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</si>
  <si>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</si>
  <si>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</si>
  <si>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</si>
  <si>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</si>
  <si>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</si>
  <si>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</si>
  <si>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</si>
  <si>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</si>
  <si>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</si>
  <si>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</si>
  <si>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</si>
  <si>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</si>
  <si>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</si>
  <si>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</si>
  <si>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</si>
  <si>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</si>
  <si>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</si>
  <si>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</si>
  <si>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</si>
  <si>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</si>
  <si>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</si>
  <si>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</si>
  <si>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</si>
  <si>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</si>
  <si>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</si>
  <si>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</si>
  <si>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</si>
  <si>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</si>
  <si>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</si>
  <si>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</si>
  <si>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</si>
  <si>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</si>
  <si>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</si>
  <si>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</si>
  <si>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</si>
  <si>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</si>
  <si>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</si>
  <si>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</si>
  <si>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</si>
  <si>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</si>
  <si>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</si>
  <si>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</si>
  <si>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</si>
  <si>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</si>
  <si>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</si>
  <si>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</si>
  <si>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</si>
  <si>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</si>
  <si>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</si>
  <si>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</si>
  <si>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</si>
  <si>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</si>
  <si>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</si>
  <si>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</si>
  <si>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</si>
  <si>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</si>
  <si>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</si>
  <si>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DE_GBD04</t>
  </si>
  <si>
    <t>DE_GHA04</t>
  </si>
  <si>
    <t>DE_GKO04</t>
  </si>
  <si>
    <t>DE_GMK04</t>
  </si>
  <si>
    <t>Stadtwerke Schüttorf - Emsbüren GmbH</t>
  </si>
  <si>
    <t>Quendorfer Str. 34</t>
  </si>
  <si>
    <t>Schüttorf</t>
  </si>
  <si>
    <t>Team EDM</t>
  </si>
  <si>
    <t>edm.netz@swse.de</t>
  </si>
  <si>
    <t>05923/803-371 o. -372</t>
  </si>
  <si>
    <t>THE0NKH700115000</t>
  </si>
  <si>
    <t>DE_GBA04</t>
  </si>
  <si>
    <t>DE_GGA04</t>
  </si>
  <si>
    <t>DE_GGB04</t>
  </si>
  <si>
    <t>DE_GMF04</t>
  </si>
  <si>
    <t>DE_GPD04</t>
  </si>
  <si>
    <t>DE_GWA04</t>
  </si>
  <si>
    <t>DE_GBH04</t>
  </si>
  <si>
    <t>DE_HEF34</t>
  </si>
  <si>
    <t>SWSE(10303)</t>
  </si>
  <si>
    <t>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</si>
</sst>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8" fillId="36" borderId="21" xfId="0" applyFont="1" applyFill="1" applyBorder="1" applyAlignment="1">
      <alignment horizontal="center" vertical="center" wrapText="1"/>
    </xf>
    <xf numFmtId="165" fontId="79" fillId="34" borderId="24" xfId="3" applyNumberFormat="1" applyFont="1" applyFill="1" applyBorder="1" applyAlignment="1">
      <alignment horizontal="center" vertical="center"/>
    </xf>
    <xf numFmtId="165" fontId="79" fillId="34" borderId="70" xfId="3" applyNumberFormat="1" applyFont="1" applyFill="1" applyBorder="1" applyAlignment="1">
      <alignment horizontal="center" vertical="center"/>
    </xf>
    <xf numFmtId="0" fontId="80" fillId="34" borderId="23" xfId="3" applyFont="1" applyFill="1" applyBorder="1" applyAlignment="1">
      <alignment horizontal="center" vertical="center"/>
    </xf>
    <xf numFmtId="10" fontId="78" fillId="35" borderId="24" xfId="0" applyNumberFormat="1" applyFont="1" applyFill="1" applyBorder="1" applyAlignment="1">
      <alignment horizontal="center" vertical="center"/>
    </xf>
    <xf numFmtId="0" fontId="78" fillId="35" borderId="24" xfId="0" applyFont="1" applyFill="1" applyBorder="1" applyAlignment="1">
      <alignment horizontal="center" vertical="center"/>
    </xf>
    <xf numFmtId="0" fontId="78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6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1" fontId="0" fillId="0" borderId="0" xfId="0" applyNumberFormat="1" applyFill="1" applyBorder="1" applyAlignment="1" applyProtection="1">
      <alignment horizontal="left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1" fontId="12" fillId="0" borderId="0" xfId="3" applyNumberFormat="1" applyFont="1" applyAlignment="1" applyProtection="1">
      <alignment vertical="top"/>
      <protection hidden="1"/>
    </xf>
  </cellXfs>
  <cellStyles count="152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363379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321310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nDaNet\05%20Netznutzungsmanagement\_Gas\Schuettorf\sonstiges\2018-slp-gas-verfahrensspezifische-parameter-netzgebiet-emsbueren_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Netzbetreiber"/>
      <sheetName val="SLP-Verfahren"/>
      <sheetName val="SLP-Temp-Gebiet #01"/>
      <sheetName val="SLP-Temp-Gebiet #02"/>
      <sheetName val="SLP-Profile"/>
      <sheetName val="SLP-Feiertage"/>
      <sheetName val="BDEW-Standard"/>
      <sheetName val="Wochentag F(W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abSelected="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5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11" sqref="D11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0" bestFit="1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500</v>
      </c>
      <c r="D4" s="17">
        <v>46023</v>
      </c>
      <c r="F4" s="8"/>
    </row>
    <row r="5" spans="2:6" ht="15" customHeight="1">
      <c r="B5" s="16"/>
    </row>
    <row r="6" spans="2:6" ht="15" customHeight="1">
      <c r="B6" s="16"/>
      <c r="C6" s="47" t="s">
        <v>501</v>
      </c>
      <c r="D6" s="17">
        <v>46023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661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6">
        <v>9870011500005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662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48465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663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664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29" t="s">
        <v>665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666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6" t="s">
        <v>499</v>
      </c>
      <c r="D28" s="32"/>
      <c r="E28" s="26"/>
    </row>
    <row r="29" spans="2:15">
      <c r="C29" s="16" t="s">
        <v>393</v>
      </c>
      <c r="D29" s="31" t="s">
        <v>667</v>
      </c>
      <c r="E29" s="28"/>
    </row>
    <row r="30" spans="2:15">
      <c r="C30" s="16" t="s">
        <v>394</v>
      </c>
      <c r="D30" s="31"/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29:D48">
    <cfRule type="expression" dxfId="48" priority="2">
      <formula>IF(CELL("Zeile",D29)&lt;$D$25+CELL("Zeile",$D$29),1,0)</formula>
    </cfRule>
  </conditionalFormatting>
  <conditionalFormatting sqref="D30:D48">
    <cfRule type="expression" dxfId="47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24" zoomScale="80" zoomScaleNormal="80" workbookViewId="0">
      <selection activeCell="E40" sqref="E40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39" t="s">
        <v>442</v>
      </c>
      <c r="D5" s="41" t="str">
        <f>Netzbetreiber!$D$9</f>
        <v>Stadtwerke Schüttorf - Emsbüren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Netzbetreiber!D29</f>
        <v>THE0NKH700115000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303">
        <v>9870011500005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46023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8" t="s">
        <v>616</v>
      </c>
      <c r="I11" s="228" t="s">
        <v>617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653</v>
      </c>
      <c r="D13" s="29" t="s">
        <v>667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366</v>
      </c>
      <c r="D15" s="33" t="s">
        <v>257</v>
      </c>
      <c r="H15" s="226" t="s">
        <v>257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575</v>
      </c>
      <c r="I16" s="227" t="s">
        <v>486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487</v>
      </c>
      <c r="I17" s="227" t="s">
        <v>488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613</v>
      </c>
      <c r="D19" s="33" t="s">
        <v>609</v>
      </c>
      <c r="H19" s="224" t="s">
        <v>609</v>
      </c>
      <c r="I19" s="224" t="s">
        <v>610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611</v>
      </c>
      <c r="H20" s="224" t="s">
        <v>612</v>
      </c>
      <c r="I20" t="s">
        <v>608</v>
      </c>
      <c r="J20"/>
      <c r="K20"/>
      <c r="L20" s="225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4" t="s">
        <v>611</v>
      </c>
      <c r="I21" s="224" t="s">
        <v>618</v>
      </c>
      <c r="J21"/>
      <c r="K21"/>
      <c r="L21" s="227" t="s">
        <v>619</v>
      </c>
      <c r="M21" s="227" t="s">
        <v>621</v>
      </c>
      <c r="N21" s="227" t="s">
        <v>620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578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622</v>
      </c>
      <c r="D24" s="29" t="s">
        <v>623</v>
      </c>
      <c r="H24" s="256" t="s">
        <v>623</v>
      </c>
      <c r="I24" s="226" t="s">
        <v>624</v>
      </c>
      <c r="J24" s="226" t="s">
        <v>625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626</v>
      </c>
      <c r="I25" s="227" t="s">
        <v>627</v>
      </c>
      <c r="J25" s="227" t="s">
        <v>628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629</v>
      </c>
      <c r="I26" s="227" t="s">
        <v>630</v>
      </c>
      <c r="J26" s="227" t="s">
        <v>631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368</v>
      </c>
      <c r="C28" s="4" t="s">
        <v>577</v>
      </c>
      <c r="D28" s="29" t="s">
        <v>134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 × F(opt)</v>
      </c>
      <c r="H29" s="227" t="s">
        <v>632</v>
      </c>
      <c r="I29" s="227" t="s">
        <v>633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Hinweis: beim Verwendung von Optimierungsfaktoren, sind tägl. anwendungsspezif. Parameter bereitzustellen. </v>
      </c>
      <c r="H30" s="227" t="s">
        <v>634</v>
      </c>
      <c r="I30" s="224" t="s">
        <v>629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491</v>
      </c>
      <c r="C32" s="2" t="s">
        <v>493</v>
      </c>
      <c r="D32" s="221">
        <v>13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4"/>
      <c r="J34" s="224"/>
      <c r="K34" s="224"/>
      <c r="L34" s="224"/>
      <c r="M34" s="225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39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1" t="s">
        <v>676</v>
      </c>
    </row>
    <row r="46" spans="2:22" ht="18" customHeight="1">
      <c r="C46" s="16" t="s">
        <v>587</v>
      </c>
      <c r="D46" s="31"/>
    </row>
    <row r="47" spans="2:22" ht="18" customHeight="1">
      <c r="C47" s="16" t="s">
        <v>588</v>
      </c>
      <c r="D47" s="31"/>
    </row>
    <row r="48" spans="2:22" ht="18" customHeight="1">
      <c r="C48" s="16" t="s">
        <v>589</v>
      </c>
      <c r="D48" s="31"/>
    </row>
    <row r="49" spans="3:4" ht="18" customHeight="1">
      <c r="C49" s="16" t="s">
        <v>590</v>
      </c>
      <c r="D49" s="31"/>
    </row>
    <row r="50" spans="3:4" ht="18" customHeight="1">
      <c r="C50" s="16" t="s">
        <v>591</v>
      </c>
      <c r="D50" s="31"/>
    </row>
    <row r="51" spans="3:4" ht="18" customHeight="1">
      <c r="C51" s="16" t="s">
        <v>592</v>
      </c>
      <c r="D51" s="31"/>
    </row>
    <row r="52" spans="3:4" ht="18" customHeight="1">
      <c r="C52" s="16" t="s">
        <v>593</v>
      </c>
      <c r="D52" s="31"/>
    </row>
    <row r="53" spans="3:4" ht="18" customHeight="1">
      <c r="C53" s="16" t="s">
        <v>594</v>
      </c>
      <c r="D53" s="31"/>
    </row>
    <row r="54" spans="3:4" ht="18" customHeight="1">
      <c r="C54" s="16" t="s">
        <v>595</v>
      </c>
      <c r="D54" s="31"/>
    </row>
    <row r="55" spans="3:4" ht="18" customHeight="1">
      <c r="C55" s="16" t="s">
        <v>596</v>
      </c>
      <c r="D55" s="31"/>
    </row>
    <row r="56" spans="3:4" ht="18" customHeight="1">
      <c r="C56" s="16" t="s">
        <v>597</v>
      </c>
      <c r="D56" s="31"/>
    </row>
    <row r="57" spans="3:4" ht="18" customHeight="1">
      <c r="C57" s="16" t="s">
        <v>598</v>
      </c>
      <c r="D57" s="31"/>
    </row>
    <row r="58" spans="3:4" ht="18" customHeight="1">
      <c r="C58" s="16" t="s">
        <v>599</v>
      </c>
      <c r="D58" s="31"/>
    </row>
    <row r="59" spans="3:4" ht="18" customHeight="1">
      <c r="C59" s="16" t="s">
        <v>600</v>
      </c>
      <c r="D59" s="31"/>
    </row>
  </sheetData>
  <conditionalFormatting sqref="D13">
    <cfRule type="expression" dxfId="46" priority="20">
      <formula>IF(#REF!="Gaspool",1,0)</formula>
    </cfRule>
  </conditionalFormatting>
  <conditionalFormatting sqref="D20">
    <cfRule type="expression" dxfId="45" priority="14">
      <formula>IF($D$19=$H$19,1,0)</formula>
    </cfRule>
  </conditionalFormatting>
  <conditionalFormatting sqref="D23:D25">
    <cfRule type="expression" dxfId="44" priority="4">
      <formula>IF($D$15="analytisch",1,0)</formula>
    </cfRule>
  </conditionalFormatting>
  <conditionalFormatting sqref="D24">
    <cfRule type="expression" dxfId="43" priority="2">
      <formula>IF($D$23="nein",1)</formula>
    </cfRule>
  </conditionalFormatting>
  <conditionalFormatting sqref="D25">
    <cfRule type="expression" dxfId="42" priority="1">
      <formula>IF(AND($D$24=$I$24,$D$23=$H$23),1,0)</formula>
    </cfRule>
  </conditionalFormatting>
  <conditionalFormatting sqref="D28">
    <cfRule type="expression" dxfId="41" priority="3">
      <formula>IF($D$15="synthetisch",1,0)</formula>
    </cfRule>
  </conditionalFormatting>
  <conditionalFormatting sqref="D45:D59">
    <cfRule type="expression" dxfId="40" priority="16">
      <formula>IF(CELL("Zeile",D45)&lt;$D$43+CELL("Zeile",$D$45),1,0)</formula>
    </cfRule>
  </conditionalFormatting>
  <conditionalFormatting sqref="D46:D59">
    <cfRule type="expression" dxfId="39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F29" sqref="F29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tr">
        <f>Netzbetreiber!D9</f>
        <v>Stadtwerke Schüttorf - Emsbüren GmbH</v>
      </c>
    </row>
    <row r="5" spans="1:56">
      <c r="C5" s="39" t="s">
        <v>441</v>
      </c>
      <c r="D5" s="40"/>
      <c r="E5" s="41" t="str">
        <f>Netzbetreiber!D29</f>
        <v>THE0NKH700115000</v>
      </c>
    </row>
    <row r="6" spans="1:56">
      <c r="C6" s="39" t="s">
        <v>485</v>
      </c>
      <c r="D6" s="40"/>
      <c r="E6" s="302">
        <v>9870011500005</v>
      </c>
    </row>
    <row r="7" spans="1:56">
      <c r="C7" s="39" t="s">
        <v>133</v>
      </c>
      <c r="D7" s="40"/>
      <c r="E7" s="34">
        <v>46023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1</v>
      </c>
      <c r="G10" s="40"/>
      <c r="H10" s="142" t="s">
        <v>602</v>
      </c>
    </row>
    <row r="11" spans="1:56">
      <c r="C11" s="39" t="s">
        <v>603</v>
      </c>
      <c r="F11" s="246" t="str">
        <f>INDEX('SLP-Verfahren'!D45:D59,'SLP-Temp-Gebiet #01'!F10)</f>
        <v>SWSE(10303)</v>
      </c>
      <c r="G11" s="249"/>
      <c r="H11" s="67"/>
    </row>
    <row r="12" spans="1:56"/>
    <row r="13" spans="1:56" ht="18" customHeight="1">
      <c r="C13" s="287" t="s">
        <v>584</v>
      </c>
      <c r="D13" s="287"/>
      <c r="E13" s="287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88" t="s">
        <v>445</v>
      </c>
      <c r="D14" s="288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8" t="s">
        <v>385</v>
      </c>
      <c r="D15" s="288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/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517</v>
      </c>
      <c r="D17" s="144"/>
      <c r="R17" s="170"/>
      <c r="S17" s="170"/>
    </row>
    <row r="18" spans="2:21">
      <c r="C18" s="39" t="s">
        <v>523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525</v>
      </c>
      <c r="D21" s="127" t="s">
        <v>515</v>
      </c>
      <c r="E21" s="241">
        <f>1-SUMPRODUCT(F19:N19,F21:N21)</f>
        <v>1</v>
      </c>
      <c r="F21" s="241"/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537</v>
      </c>
      <c r="D22" s="152">
        <f>SUMPRODUCT(E22:N22,E19:N19)</f>
        <v>1</v>
      </c>
      <c r="E22" s="242">
        <v>1</v>
      </c>
      <c r="F22" s="242"/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130" t="s">
        <v>139</v>
      </c>
      <c r="F23" s="130"/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>
        <f>O15</f>
        <v>0</v>
      </c>
    </row>
    <row r="24" spans="2:21">
      <c r="B24" s="16"/>
      <c r="C24" s="150" t="s">
        <v>520</v>
      </c>
      <c r="D24" s="153"/>
      <c r="E24" s="130" t="s">
        <v>677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1">
      <c r="B25" s="16"/>
      <c r="C25" s="150" t="s">
        <v>514</v>
      </c>
      <c r="D25" s="153"/>
      <c r="E25" s="130">
        <v>10303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130" t="s">
        <v>656</v>
      </c>
      <c r="F26" s="130"/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655</v>
      </c>
      <c r="T26" s="48" t="s">
        <v>656</v>
      </c>
      <c r="U26" s="48" t="s">
        <v>504</v>
      </c>
    </row>
    <row r="27" spans="2:21">
      <c r="B27" s="16"/>
      <c r="C27" s="150" t="s">
        <v>654</v>
      </c>
      <c r="D27" s="153"/>
      <c r="E27" s="153" t="str">
        <f>IF(E26="Individuelle GPT",CONCATENATE(Netzbetreiber!$D$11,'SLP-Temp-Gebiet #01'!E25,"B"),IF('SLP-Temp-Gebiet #01'!E26="Allgemeine GPT",CONCATENATE(Netzbetreiber!$D$11,'SLP-Temp-Gebiet #01'!E25,"A"),""))</f>
        <v>987001150000510303A</v>
      </c>
      <c r="F27" s="153" t="str">
        <f>IF(F26="Individuelle GPT",CONCATENATE(Netzbetreiber!$D$11,'SLP-Temp-Gebiet #01'!F25,"B"),IF('SLP-Temp-Gebiet #01'!F26="Allgemeine GPT",CONCATENATE(Netzbetreiber!$D$11,'SLP-Temp-Gebiet #01'!F25,"A"),""))</f>
        <v/>
      </c>
      <c r="G27" s="153" t="str">
        <f>IF(G26="Individuelle GPT",CONCATENATE(Netzbetreiber!$D$11,'SLP-Temp-Gebiet #01'!G25,"B"),IF('SLP-Temp-Gebiet #01'!G26="Allgemeine GPT",CONCATENATE(Netzbetreiber!$D$11,'SLP-Temp-Gebiet #01'!G25,"A"),""))</f>
        <v/>
      </c>
      <c r="H27" s="153" t="str">
        <f>IF(H26="Individuelle GPT",CONCATENATE(Netzbetreiber!$D$11,'SLP-Temp-Gebiet #01'!H25,"B"),IF('SLP-Temp-Gebiet #01'!H26="Allgemeine GPT",CONCATENATE(Netzbetreiber!$D$11,'SLP-Temp-Gebiet #01'!H25,"A"),""))</f>
        <v/>
      </c>
      <c r="I27" s="153" t="str">
        <f>IF(I26="Individuelle GPT",CONCATENATE(Netzbetreiber!$D$11,'SLP-Temp-Gebiet #01'!I25,"B"),IF('SLP-Temp-Gebiet #01'!I26="Allgemeine GPT",CONCATENATE(Netzbetreiber!$D$11,'SLP-Temp-Gebiet #01'!I25,"A"),""))</f>
        <v/>
      </c>
      <c r="J27" s="153" t="str">
        <f>IF(J26="Individuelle GPT",CONCATENATE(Netzbetreiber!$D$11,'SLP-Temp-Gebiet #01'!J25,"B"),IF('SLP-Temp-Gebiet #01'!J26="Allgemeine GPT",CONCATENATE(Netzbetreiber!$D$11,'SLP-Temp-Gebiet #01'!J25,"A"),""))</f>
        <v/>
      </c>
      <c r="K27" s="153" t="str">
        <f>IF(K26="Individuelle GPT",CONCATENATE(Netzbetreiber!$D$11,'SLP-Temp-Gebiet #01'!K25,"B"),IF('SLP-Temp-Gebiet #01'!K26="Allgemeine GPT",CONCATENATE(Netzbetreiber!$D$11,'SLP-Temp-Gebiet #01'!K25,"A"),""))</f>
        <v/>
      </c>
      <c r="L27" s="153" t="str">
        <f>IF(L26="Individuelle GPT",CONCATENATE(Netzbetreiber!$D$11,'SLP-Temp-Gebiet #01'!L25,"B"),IF('SLP-Temp-Gebiet #01'!L26="Allgemeine GPT",CONCATENATE(Netzbetreiber!$D$11,'SLP-Temp-Gebiet #01'!L25,"A"),""))</f>
        <v/>
      </c>
      <c r="M27" s="153" t="str">
        <f>IF(M26="Individuelle GPT",CONCATENATE(Netzbetreiber!$D$11,'SLP-Temp-Gebiet #01'!M25,"B"),IF('SLP-Temp-Gebiet #01'!M26="Allgemeine GPT",CONCATENATE(Netzbetreiber!$D$11,'SLP-Temp-Gebiet #01'!M25,"A"),""))</f>
        <v/>
      </c>
      <c r="N27" s="153" t="str">
        <f>IF(N26="Individuelle GPT",CONCATENATE(Netzbetreiber!$D$11,'SLP-Temp-Gebiet #01'!N25,"B"),IF('SLP-Temp-Gebiet #01'!N26="Allgemeine GPT",CONCATENATE(Netzbetreiber!$D$11,'SLP-Temp-Gebiet #01'!N25,"A"),""))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519</v>
      </c>
      <c r="F29" s="33">
        <v>4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526</v>
      </c>
      <c r="D32" s="152" t="s">
        <v>255</v>
      </c>
      <c r="E32" s="239">
        <f>1-SUMPRODUCT(F30:N30,F32:N32)</f>
        <v>0.5333</v>
      </c>
      <c r="F32" s="239">
        <f>ROUND(F33/$D$33,4)</f>
        <v>0.26669999999999999</v>
      </c>
      <c r="G32" s="239">
        <f t="shared" ref="G32:N32" si="3">ROUND(G33/$D$33,4)</f>
        <v>0.1333</v>
      </c>
      <c r="H32" s="239">
        <f t="shared" si="3"/>
        <v>6.6699999999999995E-2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533</v>
      </c>
      <c r="D33" s="241">
        <f>SUMPRODUCT(E33:N33,E30:N30)</f>
        <v>1.875</v>
      </c>
      <c r="E33" s="240">
        <v>1</v>
      </c>
      <c r="F33" s="240">
        <v>0.5</v>
      </c>
      <c r="G33" s="240">
        <v>0.25</v>
      </c>
      <c r="H33" s="240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130" t="s">
        <v>511</v>
      </c>
      <c r="F35" s="130" t="s">
        <v>511</v>
      </c>
      <c r="G35" s="130" t="s">
        <v>511</v>
      </c>
      <c r="H35" s="130" t="s">
        <v>511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605</v>
      </c>
      <c r="D36" s="127" t="s">
        <v>606</v>
      </c>
      <c r="E36" s="130" t="s">
        <v>604</v>
      </c>
      <c r="F36" s="130" t="s">
        <v>604</v>
      </c>
      <c r="G36" s="130" t="s">
        <v>604</v>
      </c>
      <c r="H36" s="130" t="s">
        <v>604</v>
      </c>
      <c r="I36" s="130" t="s">
        <v>604</v>
      </c>
      <c r="J36" s="130" t="s">
        <v>604</v>
      </c>
      <c r="K36" s="130" t="s">
        <v>604</v>
      </c>
      <c r="L36" s="130" t="s">
        <v>604</v>
      </c>
      <c r="M36" s="130" t="s">
        <v>604</v>
      </c>
      <c r="N36" s="130" t="s">
        <v>604</v>
      </c>
      <c r="O36" s="151" t="s">
        <v>142</v>
      </c>
      <c r="Q36" s="171"/>
      <c r="R36" s="48" t="s">
        <v>604</v>
      </c>
      <c r="S36" s="48" t="s">
        <v>607</v>
      </c>
      <c r="T36" s="40"/>
    </row>
    <row r="37" spans="2:28">
      <c r="B37" s="16"/>
      <c r="C37" s="153" t="s">
        <v>440</v>
      </c>
      <c r="D37" s="97" t="s">
        <v>538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.7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347</v>
      </c>
      <c r="D40" s="160"/>
      <c r="E40" s="160" t="s">
        <v>531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532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524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529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530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536</v>
      </c>
      <c r="D47" s="163" t="s">
        <v>534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534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579</v>
      </c>
    </row>
    <row r="52" spans="2:15">
      <c r="I52" s="1"/>
    </row>
    <row r="53" spans="2:15">
      <c r="C53" s="39" t="s">
        <v>543</v>
      </c>
      <c r="F53" s="131"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518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525</v>
      </c>
      <c r="D56" s="127" t="s">
        <v>515</v>
      </c>
      <c r="E56" s="239">
        <f>1-SUMPRODUCT(F54:N54,F56:N56)</f>
        <v>1</v>
      </c>
      <c r="F56" s="239">
        <f>ROUND(F57/$D$57,4)</f>
        <v>0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537</v>
      </c>
      <c r="D57" s="152">
        <f>SUMPRODUCT(E57:N57,E54:N54)</f>
        <v>1</v>
      </c>
      <c r="E57" s="240">
        <f>E22</f>
        <v>1</v>
      </c>
      <c r="F57" s="240">
        <f t="shared" ref="F57:N57" si="6">F22</f>
        <v>0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>DWD</v>
      </c>
      <c r="F58" s="130">
        <f t="shared" ref="F58:N58" si="7">F23</f>
        <v>0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1" t="s">
        <v>142</v>
      </c>
    </row>
    <row r="59" spans="2:15">
      <c r="B59" s="16"/>
      <c r="C59" s="150" t="s">
        <v>520</v>
      </c>
      <c r="D59" s="153"/>
      <c r="E59" s="130" t="str">
        <f>E24</f>
        <v>Lingen</v>
      </c>
      <c r="F59" s="130">
        <f t="shared" ref="F59:N59" si="8">F24</f>
        <v>0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521</v>
      </c>
    </row>
    <row r="60" spans="2:15">
      <c r="B60" s="16"/>
      <c r="C60" s="150" t="s">
        <v>514</v>
      </c>
      <c r="D60" s="153"/>
      <c r="E60" s="130">
        <f>E25</f>
        <v>10303</v>
      </c>
      <c r="F60" s="130">
        <f t="shared" ref="F60:N60" si="9">F25</f>
        <v>0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Allgemeine GPT</v>
      </c>
      <c r="F61" s="132">
        <f t="shared" ref="F61:N61" si="10">F26</f>
        <v>0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1" t="s">
        <v>142</v>
      </c>
    </row>
    <row r="62" spans="2:15"/>
    <row r="63" spans="2:15">
      <c r="C63" s="39" t="s">
        <v>519</v>
      </c>
      <c r="F63" s="131"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526</v>
      </c>
      <c r="D66" s="152" t="s">
        <v>255</v>
      </c>
      <c r="E66" s="239">
        <f>1-SUMPRODUCT(F64:N64,F66:N66)</f>
        <v>0.5333</v>
      </c>
      <c r="F66" s="239">
        <f>ROUND(F67/$D$67,4)</f>
        <v>0.26669999999999999</v>
      </c>
      <c r="G66" s="239">
        <f t="shared" ref="G66:N66" si="12">ROUND(G67/$D$67,4)</f>
        <v>0.1333</v>
      </c>
      <c r="H66" s="239">
        <f t="shared" si="12"/>
        <v>6.6699999999999995E-2</v>
      </c>
      <c r="I66" s="239">
        <f t="shared" si="12"/>
        <v>0</v>
      </c>
      <c r="J66" s="239">
        <f t="shared" si="12"/>
        <v>0</v>
      </c>
      <c r="K66" s="239">
        <f t="shared" si="12"/>
        <v>0</v>
      </c>
      <c r="L66" s="239">
        <f t="shared" si="12"/>
        <v>0</v>
      </c>
      <c r="M66" s="239">
        <f t="shared" si="12"/>
        <v>0</v>
      </c>
      <c r="N66" s="239">
        <f t="shared" si="12"/>
        <v>0</v>
      </c>
      <c r="O66" s="151"/>
    </row>
    <row r="67" spans="2:15">
      <c r="B67" s="16"/>
      <c r="C67" s="150" t="s">
        <v>533</v>
      </c>
      <c r="D67" s="152">
        <f>SUMPRODUCT(E67:N67,E64:N64)</f>
        <v>1.875</v>
      </c>
      <c r="E67" s="245">
        <f>E33</f>
        <v>1</v>
      </c>
      <c r="F67" s="245">
        <f t="shared" ref="F67:N67" si="13">F33</f>
        <v>0.5</v>
      </c>
      <c r="G67" s="245">
        <f t="shared" si="13"/>
        <v>0.25</v>
      </c>
      <c r="H67" s="245">
        <f t="shared" si="13"/>
        <v>0.125</v>
      </c>
      <c r="I67" s="245">
        <f t="shared" si="13"/>
        <v>0</v>
      </c>
      <c r="J67" s="245">
        <f t="shared" si="13"/>
        <v>0</v>
      </c>
      <c r="K67" s="245">
        <f t="shared" si="13"/>
        <v>0</v>
      </c>
      <c r="L67" s="245">
        <f t="shared" si="13"/>
        <v>0</v>
      </c>
      <c r="M67" s="245">
        <f t="shared" si="13"/>
        <v>0</v>
      </c>
      <c r="N67" s="245">
        <f t="shared" si="13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142</v>
      </c>
    </row>
    <row r="70" spans="2:15">
      <c r="B70" s="16"/>
      <c r="C70" s="150" t="s">
        <v>605</v>
      </c>
      <c r="D70" s="127" t="s">
        <v>606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142</v>
      </c>
    </row>
    <row r="71" spans="2:15">
      <c r="B71" s="16"/>
      <c r="C71" s="153" t="s">
        <v>440</v>
      </c>
      <c r="D71" s="97" t="s">
        <v>538</v>
      </c>
      <c r="E71" s="136" t="s">
        <v>449</v>
      </c>
      <c r="F71" s="136" t="s">
        <v>449</v>
      </c>
      <c r="G71" s="136" t="s">
        <v>450</v>
      </c>
      <c r="H71" s="136" t="s">
        <v>450</v>
      </c>
      <c r="I71" s="136">
        <f t="shared" ref="I71:N71" si="17">I37</f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142</v>
      </c>
    </row>
    <row r="72" spans="2:15"/>
    <row r="73" spans="2:15" ht="15.75" customHeight="1">
      <c r="C73" s="289" t="s">
        <v>580</v>
      </c>
      <c r="D73" s="289"/>
      <c r="E73" s="289"/>
      <c r="F73" s="289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8" priority="1">
      <formula>IF(E$20&gt;$F$18,1,0)</formula>
    </cfRule>
  </conditionalFormatting>
  <conditionalFormatting sqref="E22:N25">
    <cfRule type="expression" dxfId="37" priority="2">
      <formula>IF(E$20&lt;=$F$18,1,0)</formula>
    </cfRule>
  </conditionalFormatting>
  <conditionalFormatting sqref="E26:N26">
    <cfRule type="expression" dxfId="36" priority="29">
      <formula>IF(E$20&lt;=$F$18,1,0)</formula>
    </cfRule>
    <cfRule type="expression" dxfId="35" priority="30">
      <formula>IF(E$20&lt;=$F$18,1,0)</formula>
    </cfRule>
  </conditionalFormatting>
  <conditionalFormatting sqref="E32:N37">
    <cfRule type="expression" dxfId="34" priority="11">
      <formula>IF(E$31&gt;$F$29,1,0)</formula>
    </cfRule>
  </conditionalFormatting>
  <conditionalFormatting sqref="E33:N37">
    <cfRule type="expression" dxfId="33" priority="31">
      <formula>IF(E$31&lt;=$F$29,1,0)</formula>
    </cfRule>
  </conditionalFormatting>
  <conditionalFormatting sqref="E56:N61">
    <cfRule type="expression" dxfId="32" priority="12">
      <formula>IF(E$55&gt;$F$53,1,0)</formula>
    </cfRule>
  </conditionalFormatting>
  <conditionalFormatting sqref="E57:N60">
    <cfRule type="expression" dxfId="31" priority="26">
      <formula>IF(E$55&lt;=$F$53,1,0)</formula>
    </cfRule>
  </conditionalFormatting>
  <conditionalFormatting sqref="E61:N61">
    <cfRule type="expression" dxfId="30" priority="25">
      <formula>IF(E$55&lt;=$F$53,1,0)</formula>
    </cfRule>
  </conditionalFormatting>
  <conditionalFormatting sqref="E66:N71">
    <cfRule type="expression" dxfId="29" priority="5">
      <formula>IF(E$65&gt;$F$63,1,0)</formula>
    </cfRule>
  </conditionalFormatting>
  <conditionalFormatting sqref="E67:N70">
    <cfRule type="expression" dxfId="28" priority="6">
      <formula>IF(E$65&lt;=$F$63,1,0)</formula>
    </cfRule>
  </conditionalFormatting>
  <conditionalFormatting sqref="E71:N71">
    <cfRule type="expression" dxfId="27" priority="10">
      <formula>IF(E$65&lt;=$F$63,1,0)</formula>
    </cfRule>
  </conditionalFormatting>
  <conditionalFormatting sqref="H8:H11">
    <cfRule type="expression" dxfId="26" priority="9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E57:N60 E22 I22:N22 G24:N24 I71:N71 E33:N35 E70:N70 G25:N2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>
        <f>Netzbetreiber!D28</f>
        <v>0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522</v>
      </c>
      <c r="F9" s="128">
        <f>'SLP-Verfahren'!D43</f>
        <v>1</v>
      </c>
      <c r="H9" s="142" t="s">
        <v>601</v>
      </c>
    </row>
    <row r="10" spans="1:56">
      <c r="C10" s="39" t="s">
        <v>585</v>
      </c>
      <c r="F10" s="248">
        <v>2</v>
      </c>
      <c r="G10" s="40"/>
      <c r="H10" s="142" t="s">
        <v>602</v>
      </c>
    </row>
    <row r="11" spans="1:56">
      <c r="C11" s="39" t="s">
        <v>603</v>
      </c>
      <c r="F11" s="246">
        <f>INDEX('SLP-Verfahren'!D45:D59,'SLP-Temp-Gebiet #02'!F10)</f>
        <v>0</v>
      </c>
      <c r="G11" s="249"/>
      <c r="H11" s="67"/>
    </row>
    <row r="12" spans="1:56"/>
    <row r="13" spans="1:56" ht="18" customHeight="1">
      <c r="C13" s="287" t="s">
        <v>584</v>
      </c>
      <c r="D13" s="287"/>
      <c r="E13" s="287"/>
      <c r="F13" s="16" t="s">
        <v>548</v>
      </c>
      <c r="G13" t="s">
        <v>546</v>
      </c>
      <c r="H13" s="218" t="s">
        <v>563</v>
      </c>
      <c r="I13" s="40"/>
    </row>
    <row r="14" spans="1:56" ht="19.5" customHeight="1">
      <c r="C14" s="288" t="s">
        <v>445</v>
      </c>
      <c r="D14" s="288"/>
      <c r="E14" s="5" t="s">
        <v>446</v>
      </c>
      <c r="F14" s="219" t="s">
        <v>85</v>
      </c>
      <c r="G14" s="220" t="s">
        <v>572</v>
      </c>
      <c r="H14" s="35">
        <v>0</v>
      </c>
      <c r="I14" s="40"/>
      <c r="O14" s="143" t="s">
        <v>527</v>
      </c>
      <c r="R14" s="48" t="s">
        <v>564</v>
      </c>
      <c r="S14" s="48" t="s">
        <v>565</v>
      </c>
      <c r="T14" s="48" t="s">
        <v>566</v>
      </c>
      <c r="U14" s="48" t="s">
        <v>567</v>
      </c>
      <c r="V14" s="48" t="s">
        <v>547</v>
      </c>
      <c r="W14" s="48" t="s">
        <v>568</v>
      </c>
      <c r="X14" s="48" t="s">
        <v>569</v>
      </c>
      <c r="Y14" s="48" t="s">
        <v>570</v>
      </c>
      <c r="Z14" s="48" t="s">
        <v>571</v>
      </c>
      <c r="AA14" s="48" t="s">
        <v>572</v>
      </c>
      <c r="AB14" s="48" t="s">
        <v>573</v>
      </c>
      <c r="AC14" s="48" t="s">
        <v>574</v>
      </c>
    </row>
    <row r="15" spans="1:56" ht="19.5" customHeight="1">
      <c r="C15" s="288" t="s">
        <v>385</v>
      </c>
      <c r="D15" s="288"/>
      <c r="E15" s="5" t="s">
        <v>446</v>
      </c>
      <c r="F15" s="219" t="s">
        <v>71</v>
      </c>
      <c r="G15" s="220" t="s">
        <v>566</v>
      </c>
      <c r="H15" s="35">
        <v>0</v>
      </c>
      <c r="I15" s="40"/>
      <c r="O15" s="134" t="s">
        <v>528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549</v>
      </c>
      <c r="AJ15" s="217" t="s">
        <v>550</v>
      </c>
      <c r="AK15" s="217" t="s">
        <v>551</v>
      </c>
      <c r="AL15" s="217" t="s">
        <v>552</v>
      </c>
      <c r="AM15" s="217" t="s">
        <v>553</v>
      </c>
      <c r="AN15" s="217" t="s">
        <v>554</v>
      </c>
      <c r="AO15" s="217" t="s">
        <v>555</v>
      </c>
      <c r="AP15" s="217" t="s">
        <v>556</v>
      </c>
      <c r="AQ15" s="217" t="s">
        <v>557</v>
      </c>
      <c r="AR15" s="217" t="s">
        <v>558</v>
      </c>
      <c r="AS15" s="217" t="s">
        <v>559</v>
      </c>
      <c r="AT15" s="217" t="s">
        <v>560</v>
      </c>
      <c r="AU15" s="217" t="s">
        <v>561</v>
      </c>
      <c r="AV15" s="217" t="s">
        <v>562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517</v>
      </c>
      <c r="D17" s="144"/>
      <c r="R17" s="170"/>
      <c r="S17" s="170"/>
    </row>
    <row r="18" spans="2:20">
      <c r="C18" s="39" t="s">
        <v>523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518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>
      <c r="B21" s="16"/>
      <c r="C21" s="150" t="s">
        <v>525</v>
      </c>
      <c r="D21" s="127" t="s">
        <v>515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537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0">
      <c r="B24" s="16"/>
      <c r="C24" s="150" t="s">
        <v>520</v>
      </c>
      <c r="D24" s="153"/>
      <c r="E24" s="130" t="s">
        <v>581</v>
      </c>
      <c r="F24" s="130" t="s">
        <v>582</v>
      </c>
      <c r="G24" s="130"/>
      <c r="H24" s="130"/>
      <c r="I24" s="130"/>
      <c r="J24" s="130"/>
      <c r="K24" s="130"/>
      <c r="L24" s="130"/>
      <c r="M24" s="130"/>
      <c r="N24" s="130"/>
      <c r="O24" s="151" t="s">
        <v>521</v>
      </c>
      <c r="Q24" s="171"/>
    </row>
    <row r="25" spans="2:20">
      <c r="B25" s="16"/>
      <c r="C25" s="150" t="s">
        <v>514</v>
      </c>
      <c r="D25" s="153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>
      <c r="B26" s="16"/>
      <c r="C26" s="150" t="s">
        <v>141</v>
      </c>
      <c r="D26" s="153"/>
      <c r="E26" s="130" t="s">
        <v>503</v>
      </c>
      <c r="F26" s="130" t="s">
        <v>503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503</v>
      </c>
      <c r="S26" s="48" t="s">
        <v>504</v>
      </c>
    </row>
    <row r="27" spans="2:20">
      <c r="B27" s="16"/>
      <c r="C27" s="154"/>
      <c r="Q27" s="171"/>
    </row>
    <row r="28" spans="2:20">
      <c r="C28" s="39" t="s">
        <v>519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140</v>
      </c>
      <c r="D30" s="147" t="s">
        <v>256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>
      <c r="B31" s="16"/>
      <c r="C31" s="150" t="s">
        <v>526</v>
      </c>
      <c r="D31" s="152" t="s">
        <v>255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>
      <c r="B32" s="16"/>
      <c r="C32" s="150" t="s">
        <v>533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>
      <c r="B33" s="16"/>
      <c r="C33" s="150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>
      <c r="B34" s="16"/>
      <c r="C34" s="150" t="s">
        <v>448</v>
      </c>
      <c r="D34" s="127" t="s">
        <v>447</v>
      </c>
      <c r="E34" s="130" t="s">
        <v>511</v>
      </c>
      <c r="F34" s="130" t="s">
        <v>511</v>
      </c>
      <c r="G34" s="130" t="s">
        <v>511</v>
      </c>
      <c r="H34" s="130" t="s">
        <v>511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511</v>
      </c>
      <c r="S34" s="48" t="s">
        <v>512</v>
      </c>
    </row>
    <row r="35" spans="2:28">
      <c r="B35" s="16"/>
      <c r="C35" s="150" t="s">
        <v>605</v>
      </c>
      <c r="D35" s="127" t="s">
        <v>606</v>
      </c>
      <c r="E35" s="130" t="s">
        <v>604</v>
      </c>
      <c r="F35" s="130" t="s">
        <v>604</v>
      </c>
      <c r="G35" s="130" t="s">
        <v>604</v>
      </c>
      <c r="H35" s="130" t="s">
        <v>604</v>
      </c>
      <c r="I35" s="130" t="s">
        <v>604</v>
      </c>
      <c r="J35" s="130" t="s">
        <v>604</v>
      </c>
      <c r="K35" s="130" t="s">
        <v>604</v>
      </c>
      <c r="L35" s="130" t="s">
        <v>604</v>
      </c>
      <c r="M35" s="130" t="s">
        <v>604</v>
      </c>
      <c r="N35" s="130" t="s">
        <v>604</v>
      </c>
      <c r="O35" s="151" t="s">
        <v>142</v>
      </c>
      <c r="Q35" s="171"/>
      <c r="R35" s="48" t="s">
        <v>604</v>
      </c>
      <c r="S35" s="48" t="s">
        <v>607</v>
      </c>
      <c r="T35" s="40"/>
    </row>
    <row r="36" spans="2:28">
      <c r="B36" s="16"/>
      <c r="C36" s="153" t="s">
        <v>440</v>
      </c>
      <c r="D36" s="97" t="s">
        <v>538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450</v>
      </c>
      <c r="S36" s="48" t="s">
        <v>449</v>
      </c>
    </row>
    <row r="37" spans="2:28" ht="15.75" thickBot="1"/>
    <row r="38" spans="2:28">
      <c r="C38" s="156" t="s">
        <v>267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347</v>
      </c>
      <c r="D39" s="160"/>
      <c r="E39" s="160" t="s">
        <v>531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532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524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529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530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535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536</v>
      </c>
      <c r="D46" s="163" t="s">
        <v>534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360</v>
      </c>
      <c r="K46" s="160"/>
      <c r="L46" s="160"/>
      <c r="M46" s="160"/>
      <c r="N46" s="160"/>
      <c r="O46" s="161"/>
    </row>
    <row r="47" spans="2:28">
      <c r="C47" s="162" t="s">
        <v>346</v>
      </c>
      <c r="D47" s="163" t="s">
        <v>534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579</v>
      </c>
    </row>
    <row r="51" spans="2:15">
      <c r="I51" s="1"/>
    </row>
    <row r="52" spans="2:15">
      <c r="C52" s="39" t="s">
        <v>543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518</v>
      </c>
      <c r="D54" s="147" t="s">
        <v>513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>
      <c r="B55" s="16"/>
      <c r="C55" s="150" t="s">
        <v>525</v>
      </c>
      <c r="D55" s="127" t="s">
        <v>515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>
      <c r="B56" s="16"/>
      <c r="C56" s="150" t="s">
        <v>537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>
      <c r="B58" s="16"/>
      <c r="C58" s="150" t="s">
        <v>520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521</v>
      </c>
    </row>
    <row r="59" spans="2:15">
      <c r="B59" s="16"/>
      <c r="C59" s="150" t="s">
        <v>514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/>
    <row r="62" spans="2:15">
      <c r="C62" s="39" t="s">
        <v>519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256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>
      <c r="B65" s="16"/>
      <c r="C65" s="150" t="s">
        <v>526</v>
      </c>
      <c r="D65" s="152" t="s">
        <v>255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>
      <c r="B66" s="16"/>
      <c r="C66" s="150" t="s">
        <v>533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>
      <c r="B67" s="16"/>
      <c r="C67" s="150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>
      <c r="B68" s="16"/>
      <c r="C68" s="150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>
      <c r="B69" s="16"/>
      <c r="C69" s="150" t="s">
        <v>605</v>
      </c>
      <c r="D69" s="127" t="s">
        <v>606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>
      <c r="B70" s="16"/>
      <c r="C70" s="153" t="s">
        <v>440</v>
      </c>
      <c r="D70" s="97" t="s">
        <v>538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/>
    <row r="72" spans="2:15" ht="15.75" customHeight="1">
      <c r="C72" s="289" t="s">
        <v>580</v>
      </c>
      <c r="D72" s="289"/>
      <c r="E72" s="289"/>
      <c r="F72" s="289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5" priority="16">
      <formula>IF(E$20&lt;=$F$18,1,0)</formula>
    </cfRule>
  </conditionalFormatting>
  <conditionalFormatting sqref="E21:N26">
    <cfRule type="expression" dxfId="24" priority="9">
      <formula>IF(E$20&gt;$F$18,1,0)</formula>
    </cfRule>
  </conditionalFormatting>
  <conditionalFormatting sqref="E22:N25">
    <cfRule type="expression" dxfId="23" priority="18">
      <formula>IF(E$20&lt;=$F$18,1,0)</formula>
    </cfRule>
  </conditionalFormatting>
  <conditionalFormatting sqref="E26:N26">
    <cfRule type="expression" dxfId="22" priority="15">
      <formula>IF(E$20&lt;=$F$18,1,0)</formula>
    </cfRule>
  </conditionalFormatting>
  <conditionalFormatting sqref="E31:N36">
    <cfRule type="expression" dxfId="21" priority="5">
      <formula>IF(E$30&gt;$F$28,1,0)</formula>
    </cfRule>
  </conditionalFormatting>
  <conditionalFormatting sqref="E32:N36">
    <cfRule type="expression" dxfId="20" priority="17">
      <formula>IF(E$30&lt;=$F$28,1,0)</formula>
    </cfRule>
  </conditionalFormatting>
  <conditionalFormatting sqref="E55:N60">
    <cfRule type="expression" dxfId="19" priority="6">
      <formula>IF(E$54&gt;$F$52,1,0)</formula>
    </cfRule>
  </conditionalFormatting>
  <conditionalFormatting sqref="E56:N59">
    <cfRule type="expression" dxfId="18" priority="14">
      <formula>IF(E$54&lt;=$F$52,1,0)</formula>
    </cfRule>
  </conditionalFormatting>
  <conditionalFormatting sqref="E60:N60">
    <cfRule type="expression" dxfId="17" priority="13">
      <formula>IF(E$54&lt;=$F$52,1,0)</formula>
    </cfRule>
  </conditionalFormatting>
  <conditionalFormatting sqref="E65:N70">
    <cfRule type="expression" dxfId="16" priority="1">
      <formula>IF(E$64&gt;$F$62,1,0)</formula>
    </cfRule>
  </conditionalFormatting>
  <conditionalFormatting sqref="E66:N69">
    <cfRule type="expression" dxfId="15" priority="2">
      <formula>IF(E$64&lt;=$F$62,1,0)</formula>
    </cfRule>
  </conditionalFormatting>
  <conditionalFormatting sqref="E70:N70">
    <cfRule type="expression" dxfId="14" priority="4">
      <formula>IF(E$64&lt;=$F$62,1,0)</formula>
    </cfRule>
  </conditionalFormatting>
  <conditionalFormatting sqref="H8:H11">
    <cfRule type="expression" dxfId="13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F6" sqref="F6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5.2851562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Stadtwerke Schüttorf - Emsbüren GmbH</v>
      </c>
      <c r="H5" s="67" t="s">
        <v>495</v>
      </c>
      <c r="I5" s="8" t="s">
        <v>498</v>
      </c>
    </row>
    <row r="6" spans="2:26">
      <c r="C6" s="37" t="s">
        <v>334</v>
      </c>
      <c r="D6" s="38" t="str">
        <f>Netzbetreiber!$D$29</f>
        <v>THE0NKH700115000</v>
      </c>
      <c r="I6" s="8" t="s">
        <v>508</v>
      </c>
    </row>
    <row r="7" spans="2:26">
      <c r="C7" s="37" t="s">
        <v>485</v>
      </c>
      <c r="D7" s="304">
        <v>9870011500005</v>
      </c>
    </row>
    <row r="8" spans="2:26">
      <c r="C8" s="37" t="s">
        <v>133</v>
      </c>
      <c r="D8" s="36">
        <f>Netzbetreiber!$D$6</f>
        <v>46023</v>
      </c>
      <c r="H8" t="s">
        <v>493</v>
      </c>
      <c r="J8" s="107">
        <f>COUNTA(D12:D100)</f>
        <v>13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249</v>
      </c>
      <c r="C10" s="109" t="s">
        <v>492</v>
      </c>
      <c r="D10" s="108" t="s">
        <v>147</v>
      </c>
      <c r="E10" s="229" t="s">
        <v>510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635</v>
      </c>
      <c r="M10" s="124" t="s">
        <v>644</v>
      </c>
      <c r="N10" s="125" t="s">
        <v>645</v>
      </c>
      <c r="O10" s="125" t="s">
        <v>646</v>
      </c>
      <c r="P10" s="126" t="s">
        <v>647</v>
      </c>
      <c r="Q10" s="120" t="s">
        <v>636</v>
      </c>
      <c r="R10" s="110" t="s">
        <v>637</v>
      </c>
      <c r="S10" s="111" t="s">
        <v>638</v>
      </c>
      <c r="T10" s="111" t="s">
        <v>639</v>
      </c>
      <c r="U10" s="111" t="s">
        <v>640</v>
      </c>
      <c r="V10" s="111" t="s">
        <v>641</v>
      </c>
      <c r="W10" s="111" t="s">
        <v>642</v>
      </c>
      <c r="X10" s="112" t="s">
        <v>643</v>
      </c>
      <c r="Y10" s="253" t="s">
        <v>648</v>
      </c>
    </row>
    <row r="11" spans="2:26" ht="15.75" thickBot="1">
      <c r="B11" s="113" t="s">
        <v>494</v>
      </c>
      <c r="C11" s="114" t="s">
        <v>509</v>
      </c>
      <c r="D11" s="252" t="s">
        <v>248</v>
      </c>
      <c r="E11" s="137" t="s">
        <v>516</v>
      </c>
      <c r="F11" s="254" t="str">
        <f>VLOOKUP($E11,'BDEW-Standard'!$B$3:$M$158,F$9,0)</f>
        <v>OK4</v>
      </c>
      <c r="H11" s="139">
        <f>ROUND(VLOOKUP($E11,'BDEW-Standard'!$B$3:$M$158,H$9,0),7)</f>
        <v>1.4256683999999999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3.7111600000000002E-2</v>
      </c>
      <c r="L11" s="174">
        <f>ROUND(VLOOKUP($E11,'BDEW-Standard'!$B$3:$M$158,L$9,0),1)</f>
        <v>40</v>
      </c>
      <c r="M11" s="139">
        <f>ROUND(VLOOKUP($E11,'BDEW-Standard'!$B$3:$M$158,M$9,0),7)</f>
        <v>-8.0935900000000005E-2</v>
      </c>
      <c r="N11" s="139">
        <f>ROUND(VLOOKUP($E11,'BDEW-Standard'!$B$3:$M$158,N$9,0),7)</f>
        <v>1.2364527000000001</v>
      </c>
      <c r="O11" s="139">
        <f>ROUND(VLOOKUP($E11,'BDEW-Standard'!$B$3:$M$158,O$9,0),7)</f>
        <v>-7.628E-4</v>
      </c>
      <c r="P11" s="139">
        <f>ROUND(VLOOKUP($E11,'BDEW-Standard'!$B$3:$M$158,P$9,0),7)</f>
        <v>0.1002979</v>
      </c>
      <c r="Q11" s="173">
        <f>($H11/(1+($I11/($Q$9-$L11))^$J11)+$K11)+MAX($M11*$Q$9+$N11,$O11*$Q$9+$P11)</f>
        <v>0.99999996033498917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50">
        <v>365.12299999999999</v>
      </c>
    </row>
    <row r="12" spans="2:26">
      <c r="B12" s="115">
        <v>1</v>
      </c>
      <c r="C12" s="116" t="str">
        <f t="shared" ref="C12:C41" si="0">$D$6</f>
        <v>THE0NKH700115000</v>
      </c>
      <c r="D12" s="45" t="s">
        <v>248</v>
      </c>
      <c r="E12" s="138" t="s">
        <v>668</v>
      </c>
      <c r="F12" s="255" t="str">
        <f>VLOOKUP($E12,'BDEW-Standard'!$B$3:$M$94,F$9,0)</f>
        <v>BA4</v>
      </c>
      <c r="H12" s="230">
        <f>ROUND(VLOOKUP($E12,'BDEW-Standard'!$B$3:$M$94,H$9,0),7)</f>
        <v>0.93158890000000005</v>
      </c>
      <c r="I12" s="230">
        <f>ROUND(VLOOKUP($E12,'BDEW-Standard'!$B$3:$M$94,I$9,0),7)</f>
        <v>-33.35</v>
      </c>
      <c r="J12" s="230">
        <f>ROUND(VLOOKUP($E12,'BDEW-Standard'!$B$3:$M$94,J$9,0),7)</f>
        <v>5.7212303000000002</v>
      </c>
      <c r="K12" s="230">
        <f>ROUND(VLOOKUP($E12,'BDEW-Standard'!$B$3:$M$94,K$9,0),7)</f>
        <v>0.66564939999999995</v>
      </c>
      <c r="L12" s="231">
        <f>ROUND(VLOOKUP($E12,'BDEW-Standard'!$B$3:$M$94,L$9,0),1)</f>
        <v>40</v>
      </c>
      <c r="M12" s="230">
        <f>ROUND(VLOOKUP($E12,'BDEW-Standard'!$B$3:$M$94,M$9,0),7)</f>
        <v>0</v>
      </c>
      <c r="N12" s="230">
        <f>ROUND(VLOOKUP($E12,'BDEW-Standard'!$B$3:$M$94,N$9,0),7)</f>
        <v>0</v>
      </c>
      <c r="O12" s="230">
        <f>ROUND(VLOOKUP($E12,'BDEW-Standard'!$B$3:$M$94,O$9,0),7)</f>
        <v>0</v>
      </c>
      <c r="P12" s="230">
        <f>ROUND(VLOOKUP($E12,'BDEW-Standard'!$B$3:$M$94,P$9,0),7)</f>
        <v>0</v>
      </c>
      <c r="Q12" s="232">
        <f t="shared" ref="Q12:Q24" si="1">($H12/(1+($I12/($Q$9-$L12))^$J12)+$K12)+MAX($M12*$Q$9+$N12,$O12*$Q$9+$P12)</f>
        <v>1.0766391850538448</v>
      </c>
      <c r="R12" s="233">
        <f>ROUND(VLOOKUP(MID($E12,4,3),'Wochentag F(WT)'!$B$7:$J$22,R$9,0),4)</f>
        <v>1.0848</v>
      </c>
      <c r="S12" s="233">
        <f>ROUND(VLOOKUP(MID($E12,4,3),'Wochentag F(WT)'!$B$7:$J$22,S$9,0),4)</f>
        <v>1.1211</v>
      </c>
      <c r="T12" s="233">
        <f>ROUND(VLOOKUP(MID($E12,4,3),'Wochentag F(WT)'!$B$7:$J$22,T$9,0),4)</f>
        <v>1.0769</v>
      </c>
      <c r="U12" s="233">
        <f>ROUND(VLOOKUP(MID($E12,4,3),'Wochentag F(WT)'!$B$7:$J$22,U$9,0),4)</f>
        <v>1.1353</v>
      </c>
      <c r="V12" s="233">
        <f>ROUND(VLOOKUP(MID($E12,4,3),'Wochentag F(WT)'!$B$7:$J$22,V$9,0),4)</f>
        <v>1.1402000000000001</v>
      </c>
      <c r="W12" s="233">
        <f>ROUND(VLOOKUP(MID($E12,4,3),'Wochentag F(WT)'!$B$7:$J$22,W$9,0),4)</f>
        <v>0.48520000000000002</v>
      </c>
      <c r="X12" s="234">
        <f>7-SUM(R12:W12)</f>
        <v>0.95650000000000013</v>
      </c>
      <c r="Y12" s="251"/>
      <c r="Z12" s="172"/>
    </row>
    <row r="13" spans="2:26" s="117" customFormat="1">
      <c r="B13" s="118">
        <v>2</v>
      </c>
      <c r="C13" s="119" t="str">
        <f t="shared" si="0"/>
        <v>THE0NKH700115000</v>
      </c>
      <c r="D13" s="45" t="s">
        <v>248</v>
      </c>
      <c r="E13" s="138" t="s">
        <v>657</v>
      </c>
      <c r="F13" s="255" t="str">
        <f>VLOOKUP($E13,'BDEW-Standard'!$B$3:$M$94,F$9,0)</f>
        <v>BD4</v>
      </c>
      <c r="H13" s="230">
        <f>ROUND(VLOOKUP($E13,'BDEW-Standard'!$B$3:$M$94,H$9,0),7)</f>
        <v>3.75</v>
      </c>
      <c r="I13" s="230">
        <f>ROUND(VLOOKUP($E13,'BDEW-Standard'!$B$3:$M$94,I$9,0),7)</f>
        <v>-37.5</v>
      </c>
      <c r="J13" s="230">
        <f>ROUND(VLOOKUP($E13,'BDEW-Standard'!$B$3:$M$94,J$9,0),7)</f>
        <v>6.8</v>
      </c>
      <c r="K13" s="230">
        <f>ROUND(VLOOKUP($E13,'BDEW-Standard'!$B$3:$M$94,K$9,0),7)</f>
        <v>6.0911300000000002E-2</v>
      </c>
      <c r="L13" s="231">
        <f>ROUND(VLOOKUP($E13,'BDEW-Standard'!$B$3:$M$94,L$9,0),1)</f>
        <v>40</v>
      </c>
      <c r="M13" s="230">
        <f>ROUND(VLOOKUP($E13,'BDEW-Standard'!$B$3:$M$94,M$9,0),7)</f>
        <v>0</v>
      </c>
      <c r="N13" s="230">
        <f>ROUND(VLOOKUP($E13,'BDEW-Standard'!$B$3:$M$94,N$9,0),7)</f>
        <v>0</v>
      </c>
      <c r="O13" s="230">
        <f>ROUND(VLOOKUP($E13,'BDEW-Standard'!$B$3:$M$94,O$9,0),7)</f>
        <v>0</v>
      </c>
      <c r="P13" s="230">
        <f>ROUND(VLOOKUP($E13,'BDEW-Standard'!$B$3:$M$94,P$9,0),7)</f>
        <v>0</v>
      </c>
      <c r="Q13" s="232">
        <f t="shared" si="1"/>
        <v>1.0126136468627658</v>
      </c>
      <c r="R13" s="233">
        <f>ROUND(VLOOKUP(MID($E13,4,3),'Wochentag F(WT)'!$B$7:$J$22,R$9,0),4)</f>
        <v>1.1052</v>
      </c>
      <c r="S13" s="233">
        <f>ROUND(VLOOKUP(MID($E13,4,3),'Wochentag F(WT)'!$B$7:$J$22,S$9,0),4)</f>
        <v>1.0857000000000001</v>
      </c>
      <c r="T13" s="233">
        <f>ROUND(VLOOKUP(MID($E13,4,3),'Wochentag F(WT)'!$B$7:$J$22,T$9,0),4)</f>
        <v>1.0378000000000001</v>
      </c>
      <c r="U13" s="233">
        <f>ROUND(VLOOKUP(MID($E13,4,3),'Wochentag F(WT)'!$B$7:$J$22,U$9,0),4)</f>
        <v>1.0622</v>
      </c>
      <c r="V13" s="233">
        <f>ROUND(VLOOKUP(MID($E13,4,3),'Wochentag F(WT)'!$B$7:$J$22,V$9,0),4)</f>
        <v>1.0266</v>
      </c>
      <c r="W13" s="233">
        <f>ROUND(VLOOKUP(MID($E13,4,3),'Wochentag F(WT)'!$B$7:$J$22,W$9,0),4)</f>
        <v>0.76290000000000002</v>
      </c>
      <c r="X13" s="234">
        <f t="shared" ref="X13:X24" si="2">7-SUM(R13:W13)</f>
        <v>0.91959999999999997</v>
      </c>
      <c r="Y13" s="251"/>
      <c r="Z13" s="172"/>
    </row>
    <row r="14" spans="2:26" s="117" customFormat="1">
      <c r="B14" s="118">
        <v>3</v>
      </c>
      <c r="C14" s="119" t="str">
        <f t="shared" si="0"/>
        <v>THE0NKH700115000</v>
      </c>
      <c r="D14" s="45" t="s">
        <v>248</v>
      </c>
      <c r="E14" s="138" t="s">
        <v>669</v>
      </c>
      <c r="F14" s="255" t="str">
        <f>VLOOKUP($E14,'BDEW-Standard'!$B$3:$M$94,F$9,0)</f>
        <v>GA4</v>
      </c>
      <c r="H14" s="230">
        <f>ROUND(VLOOKUP($E14,'BDEW-Standard'!$B$3:$M$94,H$9,0),7)</f>
        <v>2.8195655999999998</v>
      </c>
      <c r="I14" s="230">
        <f>ROUND(VLOOKUP($E14,'BDEW-Standard'!$B$3:$M$94,I$9,0),7)</f>
        <v>-36</v>
      </c>
      <c r="J14" s="230">
        <f>ROUND(VLOOKUP($E14,'BDEW-Standard'!$B$3:$M$94,J$9,0),7)</f>
        <v>7.7368518000000002</v>
      </c>
      <c r="K14" s="230">
        <f>ROUND(VLOOKUP($E14,'BDEW-Standard'!$B$3:$M$94,K$9,0),7)</f>
        <v>0.157281</v>
      </c>
      <c r="L14" s="231">
        <f>ROUND(VLOOKUP($E14,'BDEW-Standard'!$B$3:$M$94,L$9,0),1)</f>
        <v>40</v>
      </c>
      <c r="M14" s="230">
        <f>ROUND(VLOOKUP($E14,'BDEW-Standard'!$B$3:$M$94,M$9,0),7)</f>
        <v>0</v>
      </c>
      <c r="N14" s="230">
        <f>ROUND(VLOOKUP($E14,'BDEW-Standard'!$B$3:$M$94,N$9,0),7)</f>
        <v>0</v>
      </c>
      <c r="O14" s="230">
        <f>ROUND(VLOOKUP($E14,'BDEW-Standard'!$B$3:$M$94,O$9,0),7)</f>
        <v>0</v>
      </c>
      <c r="P14" s="230">
        <f>ROUND(VLOOKUP($E14,'BDEW-Standard'!$B$3:$M$94,P$9,0),7)</f>
        <v>0</v>
      </c>
      <c r="Q14" s="232">
        <f t="shared" si="1"/>
        <v>0.96576337685759206</v>
      </c>
      <c r="R14" s="233">
        <f>ROUND(VLOOKUP(MID($E14,4,3),'Wochentag F(WT)'!$B$7:$J$22,R$9,0),4)</f>
        <v>0.93220000000000003</v>
      </c>
      <c r="S14" s="233">
        <f>ROUND(VLOOKUP(MID($E14,4,3),'Wochentag F(WT)'!$B$7:$J$22,S$9,0),4)</f>
        <v>0.98939999999999995</v>
      </c>
      <c r="T14" s="233">
        <f>ROUND(VLOOKUP(MID($E14,4,3),'Wochentag F(WT)'!$B$7:$J$22,T$9,0),4)</f>
        <v>1.0033000000000001</v>
      </c>
      <c r="U14" s="233">
        <f>ROUND(VLOOKUP(MID($E14,4,3),'Wochentag F(WT)'!$B$7:$J$22,U$9,0),4)</f>
        <v>1.0108999999999999</v>
      </c>
      <c r="V14" s="233">
        <f>ROUND(VLOOKUP(MID($E14,4,3),'Wochentag F(WT)'!$B$7:$J$22,V$9,0),4)</f>
        <v>1.018</v>
      </c>
      <c r="W14" s="233">
        <f>ROUND(VLOOKUP(MID($E14,4,3),'Wochentag F(WT)'!$B$7:$J$22,W$9,0),4)</f>
        <v>1.0356000000000001</v>
      </c>
      <c r="X14" s="234">
        <f t="shared" si="2"/>
        <v>1.0106000000000002</v>
      </c>
      <c r="Y14" s="251"/>
      <c r="Z14" s="172"/>
    </row>
    <row r="15" spans="2:26" s="117" customFormat="1">
      <c r="B15" s="118">
        <v>4</v>
      </c>
      <c r="C15" s="119" t="str">
        <f t="shared" si="0"/>
        <v>THE0NKH700115000</v>
      </c>
      <c r="D15" s="45" t="s">
        <v>248</v>
      </c>
      <c r="E15" s="138" t="s">
        <v>670</v>
      </c>
      <c r="F15" s="255" t="str">
        <f>VLOOKUP($E15,'BDEW-Standard'!$B$3:$M$94,F$9,0)</f>
        <v>GB4</v>
      </c>
      <c r="H15" s="230">
        <f>ROUND(VLOOKUP($E15,'BDEW-Standard'!$B$3:$M$94,H$9,0),7)</f>
        <v>3.6017736</v>
      </c>
      <c r="I15" s="230">
        <f>ROUND(VLOOKUP($E15,'BDEW-Standard'!$B$3:$M$94,I$9,0),7)</f>
        <v>-37.882536799999997</v>
      </c>
      <c r="J15" s="230">
        <f>ROUND(VLOOKUP($E15,'BDEW-Standard'!$B$3:$M$94,J$9,0),7)</f>
        <v>6.9836070000000001</v>
      </c>
      <c r="K15" s="230">
        <f>ROUND(VLOOKUP($E15,'BDEW-Standard'!$B$3:$M$94,K$9,0),7)</f>
        <v>5.4826199999999999E-2</v>
      </c>
      <c r="L15" s="231">
        <f>ROUND(VLOOKUP($E15,'BDEW-Standard'!$B$3:$M$94,L$9,0),1)</f>
        <v>40</v>
      </c>
      <c r="M15" s="230">
        <f>ROUND(VLOOKUP($E15,'BDEW-Standard'!$B$3:$M$94,M$9,0),7)</f>
        <v>0</v>
      </c>
      <c r="N15" s="230">
        <f>ROUND(VLOOKUP($E15,'BDEW-Standard'!$B$3:$M$94,N$9,0),7)</f>
        <v>0</v>
      </c>
      <c r="O15" s="230">
        <f>ROUND(VLOOKUP($E15,'BDEW-Standard'!$B$3:$M$94,O$9,0),7)</f>
        <v>0</v>
      </c>
      <c r="P15" s="230">
        <f>ROUND(VLOOKUP($E15,'BDEW-Standard'!$B$3:$M$94,P$9,0),7)</f>
        <v>0</v>
      </c>
      <c r="Q15" s="232">
        <f t="shared" si="1"/>
        <v>0.90239375975311864</v>
      </c>
      <c r="R15" s="233">
        <f>ROUND(VLOOKUP(MID($E15,4,3),'Wochentag F(WT)'!$B$7:$J$22,R$9,0),4)</f>
        <v>0.98970000000000002</v>
      </c>
      <c r="S15" s="233">
        <f>ROUND(VLOOKUP(MID($E15,4,3),'Wochentag F(WT)'!$B$7:$J$22,S$9,0),4)</f>
        <v>0.9627</v>
      </c>
      <c r="T15" s="233">
        <f>ROUND(VLOOKUP(MID($E15,4,3),'Wochentag F(WT)'!$B$7:$J$22,T$9,0),4)</f>
        <v>1.0507</v>
      </c>
      <c r="U15" s="233">
        <f>ROUND(VLOOKUP(MID($E15,4,3),'Wochentag F(WT)'!$B$7:$J$22,U$9,0),4)</f>
        <v>1.0551999999999999</v>
      </c>
      <c r="V15" s="233">
        <f>ROUND(VLOOKUP(MID($E15,4,3),'Wochentag F(WT)'!$B$7:$J$22,V$9,0),4)</f>
        <v>1.0297000000000001</v>
      </c>
      <c r="W15" s="233">
        <f>ROUND(VLOOKUP(MID($E15,4,3),'Wochentag F(WT)'!$B$7:$J$22,W$9,0),4)</f>
        <v>0.97670000000000001</v>
      </c>
      <c r="X15" s="234">
        <f t="shared" si="2"/>
        <v>0.9352999999999998</v>
      </c>
      <c r="Y15" s="251"/>
      <c r="Z15" s="172"/>
    </row>
    <row r="16" spans="2:26" s="117" customFormat="1">
      <c r="B16" s="118">
        <v>5</v>
      </c>
      <c r="C16" s="119" t="str">
        <f t="shared" si="0"/>
        <v>THE0NKH700115000</v>
      </c>
      <c r="D16" s="45" t="s">
        <v>248</v>
      </c>
      <c r="E16" s="138" t="s">
        <v>658</v>
      </c>
      <c r="F16" s="255" t="str">
        <f>VLOOKUP($E16,'BDEW-Standard'!$B$3:$M$94,F$9,0)</f>
        <v>HA4</v>
      </c>
      <c r="H16" s="230">
        <f>ROUND(VLOOKUP($E16,'BDEW-Standard'!$B$3:$M$94,H$9,0),7)</f>
        <v>4.0196902000000003</v>
      </c>
      <c r="I16" s="230">
        <f>ROUND(VLOOKUP($E16,'BDEW-Standard'!$B$3:$M$94,I$9,0),7)</f>
        <v>-37.828203700000003</v>
      </c>
      <c r="J16" s="230">
        <f>ROUND(VLOOKUP($E16,'BDEW-Standard'!$B$3:$M$94,J$9,0),7)</f>
        <v>8.1593368999999996</v>
      </c>
      <c r="K16" s="230">
        <f>ROUND(VLOOKUP($E16,'BDEW-Standard'!$B$3:$M$94,K$9,0),7)</f>
        <v>4.72845E-2</v>
      </c>
      <c r="L16" s="231">
        <f>ROUND(VLOOKUP($E16,'BDEW-Standard'!$B$3:$M$94,L$9,0),1)</f>
        <v>40</v>
      </c>
      <c r="M16" s="230">
        <f>ROUND(VLOOKUP($E16,'BDEW-Standard'!$B$3:$M$94,M$9,0),7)</f>
        <v>0</v>
      </c>
      <c r="N16" s="230">
        <f>ROUND(VLOOKUP($E16,'BDEW-Standard'!$B$3:$M$94,N$9,0),7)</f>
        <v>0</v>
      </c>
      <c r="O16" s="230">
        <f>ROUND(VLOOKUP($E16,'BDEW-Standard'!$B$3:$M$94,O$9,0),7)</f>
        <v>0</v>
      </c>
      <c r="P16" s="230">
        <f>ROUND(VLOOKUP($E16,'BDEW-Standard'!$B$3:$M$94,P$9,0),7)</f>
        <v>0</v>
      </c>
      <c r="Q16" s="232">
        <f t="shared" si="1"/>
        <v>0.86486713303260787</v>
      </c>
      <c r="R16" s="233">
        <f>ROUND(VLOOKUP(MID($E16,4,3),'Wochentag F(WT)'!$B$7:$J$22,R$9,0),4)</f>
        <v>1.0358000000000001</v>
      </c>
      <c r="S16" s="233">
        <f>ROUND(VLOOKUP(MID($E16,4,3),'Wochentag F(WT)'!$B$7:$J$22,S$9,0),4)</f>
        <v>1.0232000000000001</v>
      </c>
      <c r="T16" s="233">
        <f>ROUND(VLOOKUP(MID($E16,4,3),'Wochentag F(WT)'!$B$7:$J$22,T$9,0),4)</f>
        <v>1.0251999999999999</v>
      </c>
      <c r="U16" s="233">
        <f>ROUND(VLOOKUP(MID($E16,4,3),'Wochentag F(WT)'!$B$7:$J$22,U$9,0),4)</f>
        <v>1.0295000000000001</v>
      </c>
      <c r="V16" s="233">
        <f>ROUND(VLOOKUP(MID($E16,4,3),'Wochentag F(WT)'!$B$7:$J$22,V$9,0),4)</f>
        <v>1.0253000000000001</v>
      </c>
      <c r="W16" s="233">
        <f>ROUND(VLOOKUP(MID($E16,4,3),'Wochentag F(WT)'!$B$7:$J$22,W$9,0),4)</f>
        <v>0.96750000000000003</v>
      </c>
      <c r="X16" s="234">
        <f t="shared" si="2"/>
        <v>0.89350000000000041</v>
      </c>
      <c r="Y16" s="251"/>
      <c r="Z16" s="172"/>
    </row>
    <row r="17" spans="2:26" s="117" customFormat="1">
      <c r="B17" s="118">
        <v>6</v>
      </c>
      <c r="C17" s="119" t="str">
        <f t="shared" si="0"/>
        <v>THE0NKH700115000</v>
      </c>
      <c r="D17" s="45" t="s">
        <v>248</v>
      </c>
      <c r="E17" s="138" t="s">
        <v>675</v>
      </c>
      <c r="F17" s="255" t="str">
        <f>VLOOKUP($E17,'BDEW-Standard'!$B$3:$M$94,F$9,0)</f>
        <v>1D4</v>
      </c>
      <c r="H17" s="230">
        <f>ROUND(VLOOKUP($E17,'BDEW-Standard'!$B$3:$M$94,H$9,0),7)</f>
        <v>1.3819663</v>
      </c>
      <c r="I17" s="230">
        <f>ROUND(VLOOKUP($E17,'BDEW-Standard'!$B$3:$M$94,I$9,0),7)</f>
        <v>-37.412415500000002</v>
      </c>
      <c r="J17" s="230">
        <f>ROUND(VLOOKUP($E17,'BDEW-Standard'!$B$3:$M$94,J$9,0),7)</f>
        <v>6.1723179000000004</v>
      </c>
      <c r="K17" s="230">
        <f>ROUND(VLOOKUP($E17,'BDEW-Standard'!$B$3:$M$94,K$9,0),7)</f>
        <v>3.9628400000000001E-2</v>
      </c>
      <c r="L17" s="231">
        <f>ROUND(VLOOKUP($E17,'BDEW-Standard'!$B$3:$M$94,L$9,0),1)</f>
        <v>40</v>
      </c>
      <c r="M17" s="230">
        <f>ROUND(VLOOKUP($E17,'BDEW-Standard'!$B$3:$M$94,M$9,0),7)</f>
        <v>-6.7215899999999995E-2</v>
      </c>
      <c r="N17" s="230">
        <f>ROUND(VLOOKUP($E17,'BDEW-Standard'!$B$3:$M$94,N$9,0),7)</f>
        <v>1.1167138000000001</v>
      </c>
      <c r="O17" s="230">
        <f>ROUND(VLOOKUP($E17,'BDEW-Standard'!$B$3:$M$94,O$9,0),7)</f>
        <v>-1.9981999999999999E-3</v>
      </c>
      <c r="P17" s="230">
        <f>ROUND(VLOOKUP($E17,'BDEW-Standard'!$B$3:$M$94,P$9,0),7)</f>
        <v>0.13550699999999999</v>
      </c>
      <c r="Q17" s="232">
        <f t="shared" si="1"/>
        <v>0.99999978578617399</v>
      </c>
      <c r="R17" s="233">
        <f>ROUND(VLOOKUP(MID($E17,4,3),'Wochentag F(WT)'!$B$7:$J$22,R$9,0),4)</f>
        <v>1</v>
      </c>
      <c r="S17" s="233">
        <f>ROUND(VLOOKUP(MID($E17,4,3),'Wochentag F(WT)'!$B$7:$J$22,S$9,0),4)</f>
        <v>1</v>
      </c>
      <c r="T17" s="233">
        <f>ROUND(VLOOKUP(MID($E17,4,3),'Wochentag F(WT)'!$B$7:$J$22,T$9,0),4)</f>
        <v>1</v>
      </c>
      <c r="U17" s="233">
        <f>ROUND(VLOOKUP(MID($E17,4,3),'Wochentag F(WT)'!$B$7:$J$22,U$9,0),4)</f>
        <v>1</v>
      </c>
      <c r="V17" s="233">
        <f>ROUND(VLOOKUP(MID($E17,4,3),'Wochentag F(WT)'!$B$7:$J$22,V$9,0),4)</f>
        <v>1</v>
      </c>
      <c r="W17" s="233">
        <f>ROUND(VLOOKUP(MID($E17,4,3),'Wochentag F(WT)'!$B$7:$J$22,W$9,0),4)</f>
        <v>1</v>
      </c>
      <c r="X17" s="234">
        <f t="shared" si="2"/>
        <v>1</v>
      </c>
      <c r="Y17" s="251"/>
      <c r="Z17" s="172"/>
    </row>
    <row r="18" spans="2:26" s="117" customFormat="1">
      <c r="B18" s="118">
        <v>7</v>
      </c>
      <c r="C18" s="119" t="str">
        <f t="shared" si="0"/>
        <v>THE0NKH700115000</v>
      </c>
      <c r="D18" s="45" t="s">
        <v>248</v>
      </c>
      <c r="E18" s="138" t="s">
        <v>659</v>
      </c>
      <c r="F18" s="255" t="str">
        <f>VLOOKUP($E18,'BDEW-Standard'!$B$3:$M$94,F$9,0)</f>
        <v>KO4</v>
      </c>
      <c r="H18" s="230">
        <f>ROUND(VLOOKUP($E18,'BDEW-Standard'!$B$3:$M$94,H$9,0),7)</f>
        <v>3.4428942999999999</v>
      </c>
      <c r="I18" s="230">
        <f>ROUND(VLOOKUP($E18,'BDEW-Standard'!$B$3:$M$94,I$9,0),7)</f>
        <v>-36.659050399999998</v>
      </c>
      <c r="J18" s="230">
        <f>ROUND(VLOOKUP($E18,'BDEW-Standard'!$B$3:$M$94,J$9,0),7)</f>
        <v>7.6083226000000002</v>
      </c>
      <c r="K18" s="230">
        <f>ROUND(VLOOKUP($E18,'BDEW-Standard'!$B$3:$M$94,K$9,0),7)</f>
        <v>7.4685000000000001E-2</v>
      </c>
      <c r="L18" s="231">
        <f>ROUND(VLOOKUP($E18,'BDEW-Standard'!$B$3:$M$94,L$9,0),1)</f>
        <v>40</v>
      </c>
      <c r="M18" s="230">
        <f>ROUND(VLOOKUP($E18,'BDEW-Standard'!$B$3:$M$94,M$9,0),7)</f>
        <v>0</v>
      </c>
      <c r="N18" s="230">
        <f>ROUND(VLOOKUP($E18,'BDEW-Standard'!$B$3:$M$94,N$9,0),7)</f>
        <v>0</v>
      </c>
      <c r="O18" s="230">
        <f>ROUND(VLOOKUP($E18,'BDEW-Standard'!$B$3:$M$94,O$9,0),7)</f>
        <v>0</v>
      </c>
      <c r="P18" s="230">
        <f>ROUND(VLOOKUP($E18,'BDEW-Standard'!$B$3:$M$94,P$9,0),7)</f>
        <v>0</v>
      </c>
      <c r="Q18" s="232">
        <f t="shared" si="1"/>
        <v>0.97768382110526542</v>
      </c>
      <c r="R18" s="233">
        <f>ROUND(VLOOKUP(MID($E18,4,3),'Wochentag F(WT)'!$B$7:$J$22,R$9,0),4)</f>
        <v>1.0354000000000001</v>
      </c>
      <c r="S18" s="233">
        <f>ROUND(VLOOKUP(MID($E18,4,3),'Wochentag F(WT)'!$B$7:$J$22,S$9,0),4)</f>
        <v>1.0523</v>
      </c>
      <c r="T18" s="233">
        <f>ROUND(VLOOKUP(MID($E18,4,3),'Wochentag F(WT)'!$B$7:$J$22,T$9,0),4)</f>
        <v>1.0448999999999999</v>
      </c>
      <c r="U18" s="233">
        <f>ROUND(VLOOKUP(MID($E18,4,3),'Wochentag F(WT)'!$B$7:$J$22,U$9,0),4)</f>
        <v>1.0494000000000001</v>
      </c>
      <c r="V18" s="233">
        <f>ROUND(VLOOKUP(MID($E18,4,3),'Wochentag F(WT)'!$B$7:$J$22,V$9,0),4)</f>
        <v>0.98850000000000005</v>
      </c>
      <c r="W18" s="233">
        <f>ROUND(VLOOKUP(MID($E18,4,3),'Wochentag F(WT)'!$B$7:$J$22,W$9,0),4)</f>
        <v>0.88600000000000001</v>
      </c>
      <c r="X18" s="234">
        <f t="shared" si="2"/>
        <v>0.94349999999999934</v>
      </c>
      <c r="Y18" s="251"/>
      <c r="Z18" s="172"/>
    </row>
    <row r="19" spans="2:26" s="117" customFormat="1">
      <c r="B19" s="118">
        <v>8</v>
      </c>
      <c r="C19" s="119" t="str">
        <f t="shared" si="0"/>
        <v>THE0NKH700115000</v>
      </c>
      <c r="D19" s="45" t="s">
        <v>248</v>
      </c>
      <c r="E19" s="138" t="s">
        <v>671</v>
      </c>
      <c r="F19" s="255" t="str">
        <f>VLOOKUP($E19,'BDEW-Standard'!$B$3:$M$94,F$9,0)</f>
        <v>MF4</v>
      </c>
      <c r="H19" s="230">
        <f>ROUND(VLOOKUP($E19,'BDEW-Standard'!$B$3:$M$94,H$9,0),7)</f>
        <v>2.5187775000000001</v>
      </c>
      <c r="I19" s="230">
        <f>ROUND(VLOOKUP($E19,'BDEW-Standard'!$B$3:$M$94,I$9,0),7)</f>
        <v>-35.033375399999997</v>
      </c>
      <c r="J19" s="230">
        <f>ROUND(VLOOKUP($E19,'BDEW-Standard'!$B$3:$M$94,J$9,0),7)</f>
        <v>6.2240634000000004</v>
      </c>
      <c r="K19" s="230">
        <f>ROUND(VLOOKUP($E19,'BDEW-Standard'!$B$3:$M$94,K$9,0),7)</f>
        <v>0.10107820000000001</v>
      </c>
      <c r="L19" s="231">
        <f>ROUND(VLOOKUP($E19,'BDEW-Standard'!$B$3:$M$94,L$9,0),1)</f>
        <v>40</v>
      </c>
      <c r="M19" s="230">
        <f>ROUND(VLOOKUP($E19,'BDEW-Standard'!$B$3:$M$94,M$9,0),7)</f>
        <v>0</v>
      </c>
      <c r="N19" s="230">
        <f>ROUND(VLOOKUP($E19,'BDEW-Standard'!$B$3:$M$94,N$9,0),7)</f>
        <v>0</v>
      </c>
      <c r="O19" s="230">
        <f>ROUND(VLOOKUP($E19,'BDEW-Standard'!$B$3:$M$94,O$9,0),7)</f>
        <v>0</v>
      </c>
      <c r="P19" s="230">
        <f>ROUND(VLOOKUP($E19,'BDEW-Standard'!$B$3:$M$94,P$9,0),7)</f>
        <v>0</v>
      </c>
      <c r="Q19" s="232">
        <f t="shared" si="1"/>
        <v>1.0146273685996503</v>
      </c>
      <c r="R19" s="233">
        <f>ROUND(VLOOKUP(MID($E19,4,3),'Wochentag F(WT)'!$B$7:$J$22,R$9,0),4)</f>
        <v>1.0354000000000001</v>
      </c>
      <c r="S19" s="233">
        <f>ROUND(VLOOKUP(MID($E19,4,3),'Wochentag F(WT)'!$B$7:$J$22,S$9,0),4)</f>
        <v>1.0523</v>
      </c>
      <c r="T19" s="233">
        <f>ROUND(VLOOKUP(MID($E19,4,3),'Wochentag F(WT)'!$B$7:$J$22,T$9,0),4)</f>
        <v>1.0448999999999999</v>
      </c>
      <c r="U19" s="233">
        <f>ROUND(VLOOKUP(MID($E19,4,3),'Wochentag F(WT)'!$B$7:$J$22,U$9,0),4)</f>
        <v>1.0494000000000001</v>
      </c>
      <c r="V19" s="233">
        <f>ROUND(VLOOKUP(MID($E19,4,3),'Wochentag F(WT)'!$B$7:$J$22,V$9,0),4)</f>
        <v>0.98850000000000005</v>
      </c>
      <c r="W19" s="233">
        <f>ROUND(VLOOKUP(MID($E19,4,3),'Wochentag F(WT)'!$B$7:$J$22,W$9,0),4)</f>
        <v>0.88600000000000001</v>
      </c>
      <c r="X19" s="234">
        <f t="shared" si="2"/>
        <v>0.94349999999999934</v>
      </c>
      <c r="Y19" s="251"/>
      <c r="Z19" s="172"/>
    </row>
    <row r="20" spans="2:26" s="117" customFormat="1">
      <c r="B20" s="118">
        <v>9</v>
      </c>
      <c r="C20" s="119" t="str">
        <f t="shared" si="0"/>
        <v>THE0NKH700115000</v>
      </c>
      <c r="D20" s="45" t="s">
        <v>248</v>
      </c>
      <c r="E20" s="138" t="s">
        <v>660</v>
      </c>
      <c r="F20" s="255" t="str">
        <f>VLOOKUP($E20,'BDEW-Standard'!$B$3:$M$94,F$9,0)</f>
        <v>MK4</v>
      </c>
      <c r="H20" s="230">
        <f>ROUND(VLOOKUP($E20,'BDEW-Standard'!$B$3:$M$94,H$9,0),7)</f>
        <v>3.1177248</v>
      </c>
      <c r="I20" s="230">
        <f>ROUND(VLOOKUP($E20,'BDEW-Standard'!$B$3:$M$94,I$9,0),7)</f>
        <v>-35.871506199999999</v>
      </c>
      <c r="J20" s="230">
        <f>ROUND(VLOOKUP($E20,'BDEW-Standard'!$B$3:$M$94,J$9,0),7)</f>
        <v>7.5186828999999999</v>
      </c>
      <c r="K20" s="230">
        <f>ROUND(VLOOKUP($E20,'BDEW-Standard'!$B$3:$M$94,K$9,0),7)</f>
        <v>3.4330100000000002E-2</v>
      </c>
      <c r="L20" s="231">
        <f>ROUND(VLOOKUP($E20,'BDEW-Standard'!$B$3:$M$94,L$9,0),1)</f>
        <v>40</v>
      </c>
      <c r="M20" s="230">
        <f>ROUND(VLOOKUP($E20,'BDEW-Standard'!$B$3:$M$94,M$9,0),7)</f>
        <v>0</v>
      </c>
      <c r="N20" s="230">
        <f>ROUND(VLOOKUP($E20,'BDEW-Standard'!$B$3:$M$94,N$9,0),7)</f>
        <v>0</v>
      </c>
      <c r="O20" s="230">
        <f>ROUND(VLOOKUP($E20,'BDEW-Standard'!$B$3:$M$94,O$9,0),7)</f>
        <v>0</v>
      </c>
      <c r="P20" s="230">
        <f>ROUND(VLOOKUP($E20,'BDEW-Standard'!$B$3:$M$94,P$9,0),7)</f>
        <v>0</v>
      </c>
      <c r="Q20" s="232">
        <f t="shared" si="1"/>
        <v>0.9622064996731321</v>
      </c>
      <c r="R20" s="233">
        <f>ROUND(VLOOKUP(MID($E20,4,3),'Wochentag F(WT)'!$B$7:$J$22,R$9,0),4)</f>
        <v>1.0699000000000001</v>
      </c>
      <c r="S20" s="233">
        <f>ROUND(VLOOKUP(MID($E20,4,3),'Wochentag F(WT)'!$B$7:$J$22,S$9,0),4)</f>
        <v>1.0365</v>
      </c>
      <c r="T20" s="233">
        <f>ROUND(VLOOKUP(MID($E20,4,3),'Wochentag F(WT)'!$B$7:$J$22,T$9,0),4)</f>
        <v>0.99329999999999996</v>
      </c>
      <c r="U20" s="233">
        <f>ROUND(VLOOKUP(MID($E20,4,3),'Wochentag F(WT)'!$B$7:$J$22,U$9,0),4)</f>
        <v>0.99480000000000002</v>
      </c>
      <c r="V20" s="233">
        <f>ROUND(VLOOKUP(MID($E20,4,3),'Wochentag F(WT)'!$B$7:$J$22,V$9,0),4)</f>
        <v>1.0659000000000001</v>
      </c>
      <c r="W20" s="233">
        <f>ROUND(VLOOKUP(MID($E20,4,3),'Wochentag F(WT)'!$B$7:$J$22,W$9,0),4)</f>
        <v>0.93620000000000003</v>
      </c>
      <c r="X20" s="234">
        <f t="shared" si="2"/>
        <v>0.90339999999999954</v>
      </c>
      <c r="Y20" s="251"/>
      <c r="Z20" s="172"/>
    </row>
    <row r="21" spans="2:26" s="117" customFormat="1">
      <c r="B21" s="118">
        <v>10</v>
      </c>
      <c r="C21" s="119" t="str">
        <f t="shared" si="0"/>
        <v>THE0NKH700115000</v>
      </c>
      <c r="D21" s="45" t="s">
        <v>248</v>
      </c>
      <c r="E21" s="138" t="s">
        <v>672</v>
      </c>
      <c r="F21" s="255" t="str">
        <f>VLOOKUP($E21,'BDEW-Standard'!$B$3:$M$94,F$9,0)</f>
        <v>PD4</v>
      </c>
      <c r="H21" s="230">
        <f>ROUND(VLOOKUP($E21,'BDEW-Standard'!$B$3:$M$94,H$9,0),7)</f>
        <v>3.85</v>
      </c>
      <c r="I21" s="230">
        <f>ROUND(VLOOKUP($E21,'BDEW-Standard'!$B$3:$M$94,I$9,0),7)</f>
        <v>-37</v>
      </c>
      <c r="J21" s="230">
        <f>ROUND(VLOOKUP($E21,'BDEW-Standard'!$B$3:$M$94,J$9,0),7)</f>
        <v>10.2405021</v>
      </c>
      <c r="K21" s="230">
        <f>ROUND(VLOOKUP($E21,'BDEW-Standard'!$B$3:$M$94,K$9,0),7)</f>
        <v>4.6924300000000002E-2</v>
      </c>
      <c r="L21" s="231">
        <f>ROUND(VLOOKUP($E21,'BDEW-Standard'!$B$3:$M$94,L$9,0),1)</f>
        <v>40</v>
      </c>
      <c r="M21" s="230">
        <f>ROUND(VLOOKUP($E21,'BDEW-Standard'!$B$3:$M$94,M$9,0),7)</f>
        <v>0</v>
      </c>
      <c r="N21" s="230">
        <f>ROUND(VLOOKUP($E21,'BDEW-Standard'!$B$3:$M$94,N$9,0),7)</f>
        <v>0</v>
      </c>
      <c r="O21" s="230">
        <f>ROUND(VLOOKUP($E21,'BDEW-Standard'!$B$3:$M$94,O$9,0),7)</f>
        <v>0</v>
      </c>
      <c r="P21" s="230">
        <f>ROUND(VLOOKUP($E21,'BDEW-Standard'!$B$3:$M$94,P$9,0),7)</f>
        <v>0</v>
      </c>
      <c r="Q21" s="232">
        <f t="shared" si="1"/>
        <v>0.75691065279879233</v>
      </c>
      <c r="R21" s="233">
        <f>ROUND(VLOOKUP(MID($E21,4,3),'Wochentag F(WT)'!$B$7:$J$22,R$9,0),4)</f>
        <v>1.0214000000000001</v>
      </c>
      <c r="S21" s="233">
        <f>ROUND(VLOOKUP(MID($E21,4,3),'Wochentag F(WT)'!$B$7:$J$22,S$9,0),4)</f>
        <v>1.0866</v>
      </c>
      <c r="T21" s="233">
        <f>ROUND(VLOOKUP(MID($E21,4,3),'Wochentag F(WT)'!$B$7:$J$22,T$9,0),4)</f>
        <v>1.0720000000000001</v>
      </c>
      <c r="U21" s="233">
        <f>ROUND(VLOOKUP(MID($E21,4,3),'Wochentag F(WT)'!$B$7:$J$22,U$9,0),4)</f>
        <v>1.0557000000000001</v>
      </c>
      <c r="V21" s="233">
        <f>ROUND(VLOOKUP(MID($E21,4,3),'Wochentag F(WT)'!$B$7:$J$22,V$9,0),4)</f>
        <v>1.0117</v>
      </c>
      <c r="W21" s="233">
        <f>ROUND(VLOOKUP(MID($E21,4,3),'Wochentag F(WT)'!$B$7:$J$22,W$9,0),4)</f>
        <v>0.90010000000000001</v>
      </c>
      <c r="X21" s="234">
        <f t="shared" si="2"/>
        <v>0.85249999999999915</v>
      </c>
      <c r="Y21" s="251"/>
      <c r="Z21" s="172"/>
    </row>
    <row r="22" spans="2:26" s="117" customFormat="1">
      <c r="B22" s="118">
        <v>11</v>
      </c>
      <c r="C22" s="119" t="str">
        <f t="shared" si="0"/>
        <v>THE0NKH700115000</v>
      </c>
      <c r="D22" s="45" t="s">
        <v>248</v>
      </c>
      <c r="E22" s="138" t="s">
        <v>673</v>
      </c>
      <c r="F22" s="255" t="str">
        <f>VLOOKUP($E22,'BDEW-Standard'!$B$3:$M$94,F$9,0)</f>
        <v>WA4</v>
      </c>
      <c r="H22" s="230">
        <f>ROUND(VLOOKUP($E22,'BDEW-Standard'!$B$3:$M$94,H$9,0),7)</f>
        <v>1.0535874999999999</v>
      </c>
      <c r="I22" s="230">
        <f>ROUND(VLOOKUP($E22,'BDEW-Standard'!$B$3:$M$94,I$9,0),7)</f>
        <v>-35.299999999999997</v>
      </c>
      <c r="J22" s="230">
        <f>ROUND(VLOOKUP($E22,'BDEW-Standard'!$B$3:$M$94,J$9,0),7)</f>
        <v>4.8662747</v>
      </c>
      <c r="K22" s="230">
        <f>ROUND(VLOOKUP($E22,'BDEW-Standard'!$B$3:$M$94,K$9,0),7)</f>
        <v>0.68110420000000005</v>
      </c>
      <c r="L22" s="231">
        <f>ROUND(VLOOKUP($E22,'BDEW-Standard'!$B$3:$M$94,L$9,0),1)</f>
        <v>40</v>
      </c>
      <c r="M22" s="230">
        <f>ROUND(VLOOKUP($E22,'BDEW-Standard'!$B$3:$M$94,M$9,0),7)</f>
        <v>0</v>
      </c>
      <c r="N22" s="230">
        <f>ROUND(VLOOKUP($E22,'BDEW-Standard'!$B$3:$M$94,N$9,0),7)</f>
        <v>0</v>
      </c>
      <c r="O22" s="230">
        <f>ROUND(VLOOKUP($E22,'BDEW-Standard'!$B$3:$M$94,O$9,0),7)</f>
        <v>0</v>
      </c>
      <c r="P22" s="230">
        <f>ROUND(VLOOKUP($E22,'BDEW-Standard'!$B$3:$M$94,P$9,0),7)</f>
        <v>0</v>
      </c>
      <c r="Q22" s="232">
        <f t="shared" si="1"/>
        <v>1.0844348950990992</v>
      </c>
      <c r="R22" s="233">
        <f>ROUND(VLOOKUP(MID($E22,4,3),'Wochentag F(WT)'!$B$7:$J$22,R$9,0),4)</f>
        <v>1.2457</v>
      </c>
      <c r="S22" s="233">
        <f>ROUND(VLOOKUP(MID($E22,4,3),'Wochentag F(WT)'!$B$7:$J$22,S$9,0),4)</f>
        <v>1.2615000000000001</v>
      </c>
      <c r="T22" s="233">
        <f>ROUND(VLOOKUP(MID($E22,4,3),'Wochentag F(WT)'!$B$7:$J$22,T$9,0),4)</f>
        <v>1.2706999999999999</v>
      </c>
      <c r="U22" s="233">
        <f>ROUND(VLOOKUP(MID($E22,4,3),'Wochentag F(WT)'!$B$7:$J$22,U$9,0),4)</f>
        <v>1.2430000000000001</v>
      </c>
      <c r="V22" s="233">
        <f>ROUND(VLOOKUP(MID($E22,4,3),'Wochentag F(WT)'!$B$7:$J$22,V$9,0),4)</f>
        <v>1.1275999999999999</v>
      </c>
      <c r="W22" s="233">
        <f>ROUND(VLOOKUP(MID($E22,4,3),'Wochentag F(WT)'!$B$7:$J$22,W$9,0),4)</f>
        <v>0.38769999999999999</v>
      </c>
      <c r="X22" s="234">
        <f t="shared" si="2"/>
        <v>0.46379999999999999</v>
      </c>
      <c r="Y22" s="251"/>
      <c r="Z22" s="172"/>
    </row>
    <row r="23" spans="2:26" s="117" customFormat="1">
      <c r="B23" s="118">
        <v>12</v>
      </c>
      <c r="C23" s="119" t="str">
        <f t="shared" si="0"/>
        <v>THE0NKH700115000</v>
      </c>
      <c r="D23" s="45" t="s">
        <v>248</v>
      </c>
      <c r="E23" s="138" t="s">
        <v>674</v>
      </c>
      <c r="F23" s="255" t="str">
        <f>VLOOKUP($E23,'BDEW-Standard'!$B$3:$M$94,F$9,0)</f>
        <v>BH4</v>
      </c>
      <c r="H23" s="230">
        <f>ROUND(VLOOKUP($E23,'BDEW-Standard'!$B$3:$M$94,H$9,0),7)</f>
        <v>2.4595180999999999</v>
      </c>
      <c r="I23" s="230">
        <f>ROUND(VLOOKUP($E23,'BDEW-Standard'!$B$3:$M$94,I$9,0),7)</f>
        <v>-35.253212400000002</v>
      </c>
      <c r="J23" s="230">
        <f>ROUND(VLOOKUP($E23,'BDEW-Standard'!$B$3:$M$94,J$9,0),7)</f>
        <v>6.0587001000000003</v>
      </c>
      <c r="K23" s="230">
        <f>ROUND(VLOOKUP($E23,'BDEW-Standard'!$B$3:$M$94,K$9,0),7)</f>
        <v>0.16473699999999999</v>
      </c>
      <c r="L23" s="231">
        <f>ROUND(VLOOKUP($E23,'BDEW-Standard'!$B$3:$M$94,L$9,0),1)</f>
        <v>40</v>
      </c>
      <c r="M23" s="230">
        <f>ROUND(VLOOKUP($E23,'BDEW-Standard'!$B$3:$M$94,M$9,0),7)</f>
        <v>0</v>
      </c>
      <c r="N23" s="230">
        <f>ROUND(VLOOKUP($E23,'BDEW-Standard'!$B$3:$M$94,N$9,0),7)</f>
        <v>0</v>
      </c>
      <c r="O23" s="230">
        <f>ROUND(VLOOKUP($E23,'BDEW-Standard'!$B$3:$M$94,O$9,0),7)</f>
        <v>0</v>
      </c>
      <c r="P23" s="230">
        <f>ROUND(VLOOKUP($E23,'BDEW-Standard'!$B$3:$M$94,P$9,0),7)</f>
        <v>0</v>
      </c>
      <c r="Q23" s="232">
        <f t="shared" si="1"/>
        <v>1.043802057143173</v>
      </c>
      <c r="R23" s="233">
        <f>ROUND(VLOOKUP(MID($E23,4,3),'Wochentag F(WT)'!$B$7:$J$22,R$9,0),4)</f>
        <v>0.97670000000000001</v>
      </c>
      <c r="S23" s="233">
        <f>ROUND(VLOOKUP(MID($E23,4,3),'Wochentag F(WT)'!$B$7:$J$22,S$9,0),4)</f>
        <v>1.0388999999999999</v>
      </c>
      <c r="T23" s="233">
        <f>ROUND(VLOOKUP(MID($E23,4,3),'Wochentag F(WT)'!$B$7:$J$22,T$9,0),4)</f>
        <v>1.0027999999999999</v>
      </c>
      <c r="U23" s="233">
        <f>ROUND(VLOOKUP(MID($E23,4,3),'Wochentag F(WT)'!$B$7:$J$22,U$9,0),4)</f>
        <v>1.0162</v>
      </c>
      <c r="V23" s="233">
        <f>ROUND(VLOOKUP(MID($E23,4,3),'Wochentag F(WT)'!$B$7:$J$22,V$9,0),4)</f>
        <v>1.0024</v>
      </c>
      <c r="W23" s="233">
        <f>ROUND(VLOOKUP(MID($E23,4,3),'Wochentag F(WT)'!$B$7:$J$22,W$9,0),4)</f>
        <v>1.0043</v>
      </c>
      <c r="X23" s="234">
        <f t="shared" si="2"/>
        <v>0.95870000000000122</v>
      </c>
      <c r="Y23" s="251"/>
      <c r="Z23" s="172"/>
    </row>
    <row r="24" spans="2:26" s="117" customFormat="1">
      <c r="B24" s="118">
        <v>13</v>
      </c>
      <c r="C24" s="119" t="str">
        <f t="shared" si="0"/>
        <v>THE0NKH700115000</v>
      </c>
      <c r="D24" s="45" t="s">
        <v>248</v>
      </c>
      <c r="E24" s="138" t="s">
        <v>4</v>
      </c>
      <c r="F24" s="255" t="str">
        <f>VLOOKUP($E24,'BDEW-Standard'!$B$3:$M$94,F$9,0)</f>
        <v>HK3</v>
      </c>
      <c r="H24" s="230">
        <f>ROUND(VLOOKUP($E24,'BDEW-Standard'!$B$3:$M$94,H$9,0),7)</f>
        <v>0.40409319999999999</v>
      </c>
      <c r="I24" s="230">
        <f>ROUND(VLOOKUP($E24,'BDEW-Standard'!$B$3:$M$94,I$9,0),7)</f>
        <v>-24.439296800000001</v>
      </c>
      <c r="J24" s="230">
        <f>ROUND(VLOOKUP($E24,'BDEW-Standard'!$B$3:$M$94,J$9,0),7)</f>
        <v>6.5718174999999999</v>
      </c>
      <c r="K24" s="230">
        <f>ROUND(VLOOKUP($E24,'BDEW-Standard'!$B$3:$M$94,K$9,0),7)</f>
        <v>0.71077100000000004</v>
      </c>
      <c r="L24" s="231">
        <f>ROUND(VLOOKUP($E24,'BDEW-Standard'!$B$3:$M$94,L$9,0),1)</f>
        <v>40</v>
      </c>
      <c r="M24" s="230">
        <f>ROUND(VLOOKUP($E24,'BDEW-Standard'!$B$3:$M$94,M$9,0),7)</f>
        <v>0</v>
      </c>
      <c r="N24" s="230">
        <f>ROUND(VLOOKUP($E24,'BDEW-Standard'!$B$3:$M$94,N$9,0),7)</f>
        <v>0</v>
      </c>
      <c r="O24" s="230">
        <f>ROUND(VLOOKUP($E24,'BDEW-Standard'!$B$3:$M$94,O$9,0),7)</f>
        <v>0</v>
      </c>
      <c r="P24" s="230">
        <f>ROUND(VLOOKUP($E24,'BDEW-Standard'!$B$3:$M$94,P$9,0),7)</f>
        <v>0</v>
      </c>
      <c r="Q24" s="232">
        <f t="shared" si="1"/>
        <v>1.0561214000512988</v>
      </c>
      <c r="R24" s="233">
        <f>ROUND(VLOOKUP(MID($E24,4,3),'Wochentag F(WT)'!$B$7:$J$22,R$9,0),4)</f>
        <v>1</v>
      </c>
      <c r="S24" s="233">
        <f>ROUND(VLOOKUP(MID($E24,4,3),'Wochentag F(WT)'!$B$7:$J$22,S$9,0),4)</f>
        <v>1</v>
      </c>
      <c r="T24" s="233">
        <f>ROUND(VLOOKUP(MID($E24,4,3),'Wochentag F(WT)'!$B$7:$J$22,T$9,0),4)</f>
        <v>1</v>
      </c>
      <c r="U24" s="233">
        <f>ROUND(VLOOKUP(MID($E24,4,3),'Wochentag F(WT)'!$B$7:$J$22,U$9,0),4)</f>
        <v>1</v>
      </c>
      <c r="V24" s="233">
        <f>ROUND(VLOOKUP(MID($E24,4,3),'Wochentag F(WT)'!$B$7:$J$22,V$9,0),4)</f>
        <v>1</v>
      </c>
      <c r="W24" s="233">
        <f>ROUND(VLOOKUP(MID($E24,4,3),'Wochentag F(WT)'!$B$7:$J$22,W$9,0),4)</f>
        <v>1</v>
      </c>
      <c r="X24" s="234">
        <f t="shared" si="2"/>
        <v>1</v>
      </c>
      <c r="Y24" s="251"/>
      <c r="Z24" s="172"/>
    </row>
    <row r="25" spans="2:26" s="117" customFormat="1">
      <c r="B25" s="118">
        <v>14</v>
      </c>
      <c r="C25" s="119" t="str">
        <f t="shared" si="0"/>
        <v>THE0NKH700115000</v>
      </c>
      <c r="D25" s="45"/>
      <c r="E25" s="138"/>
      <c r="F25" s="255"/>
      <c r="H25" s="230"/>
      <c r="I25" s="230"/>
      <c r="J25" s="230"/>
      <c r="K25" s="230"/>
      <c r="L25" s="231"/>
      <c r="M25" s="230"/>
      <c r="N25" s="230"/>
      <c r="O25" s="230"/>
      <c r="P25" s="230"/>
      <c r="Q25" s="232"/>
      <c r="R25" s="233"/>
      <c r="S25" s="233"/>
      <c r="T25" s="233"/>
      <c r="U25" s="233"/>
      <c r="V25" s="233"/>
      <c r="W25" s="233"/>
      <c r="X25" s="234"/>
      <c r="Y25" s="251"/>
      <c r="Z25" s="172"/>
    </row>
    <row r="26" spans="2:26" s="117" customFormat="1">
      <c r="B26" s="118">
        <v>15</v>
      </c>
      <c r="C26" s="119" t="str">
        <f t="shared" si="0"/>
        <v>THE0NKH700115000</v>
      </c>
      <c r="D26" s="45"/>
      <c r="E26" s="138"/>
      <c r="F26" s="255"/>
      <c r="H26" s="230"/>
      <c r="I26" s="230"/>
      <c r="J26" s="230"/>
      <c r="K26" s="230"/>
      <c r="L26" s="231"/>
      <c r="M26" s="230"/>
      <c r="N26" s="230"/>
      <c r="O26" s="230"/>
      <c r="P26" s="230"/>
      <c r="Q26" s="232"/>
      <c r="R26" s="233"/>
      <c r="S26" s="233"/>
      <c r="T26" s="233"/>
      <c r="U26" s="233"/>
      <c r="V26" s="233"/>
      <c r="W26" s="233"/>
      <c r="X26" s="234"/>
      <c r="Y26" s="251"/>
      <c r="Z26" s="172"/>
    </row>
    <row r="27" spans="2:26" s="117" customFormat="1">
      <c r="B27" s="118">
        <v>16</v>
      </c>
      <c r="C27" s="119" t="str">
        <f t="shared" si="0"/>
        <v>THE0NKH700115000</v>
      </c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>
        <v>17</v>
      </c>
      <c r="C28" s="119" t="str">
        <f t="shared" si="0"/>
        <v>THE0NKH700115000</v>
      </c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>
        <v>18</v>
      </c>
      <c r="C29" s="119" t="str">
        <f t="shared" si="0"/>
        <v>THE0NKH700115000</v>
      </c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>
        <v>19</v>
      </c>
      <c r="C30" s="119" t="str">
        <f t="shared" si="0"/>
        <v>THE0NKH700115000</v>
      </c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>
        <v>20</v>
      </c>
      <c r="C31" s="119" t="str">
        <f t="shared" si="0"/>
        <v>THE0NKH700115000</v>
      </c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>
        <v>21</v>
      </c>
      <c r="C32" s="119" t="str">
        <f t="shared" si="0"/>
        <v>THE0NKH700115000</v>
      </c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>
        <v>22</v>
      </c>
      <c r="C33" s="119" t="str">
        <f t="shared" si="0"/>
        <v>THE0NKH700115000</v>
      </c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>
        <v>23</v>
      </c>
      <c r="C34" s="119" t="str">
        <f t="shared" si="0"/>
        <v>THE0NKH700115000</v>
      </c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>
        <v>24</v>
      </c>
      <c r="C35" s="119" t="str">
        <f t="shared" si="0"/>
        <v>THE0NKH700115000</v>
      </c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>
        <v>25</v>
      </c>
      <c r="C36" s="119" t="str">
        <f t="shared" si="0"/>
        <v>THE0NKH700115000</v>
      </c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>
        <v>26</v>
      </c>
      <c r="C37" s="119" t="str">
        <f t="shared" si="0"/>
        <v>THE0NKH700115000</v>
      </c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>
        <v>27</v>
      </c>
      <c r="C38" s="119" t="str">
        <f t="shared" si="0"/>
        <v>THE0NKH700115000</v>
      </c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>
        <v>28</v>
      </c>
      <c r="C39" s="119" t="str">
        <f t="shared" si="0"/>
        <v>THE0NKH700115000</v>
      </c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>
        <v>29</v>
      </c>
      <c r="C40" s="119" t="str">
        <f t="shared" si="0"/>
        <v>THE0NKH700115000</v>
      </c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>
        <v>30</v>
      </c>
      <c r="C41" s="119" t="str">
        <f t="shared" si="0"/>
        <v>THE0NKH700115000</v>
      </c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E16 E18:E24">
    <cfRule type="duplicateValues" dxfId="11" priority="2"/>
  </conditionalFormatting>
  <conditionalFormatting sqref="E17">
    <cfRule type="duplicateValues" dxfId="10" priority="1"/>
  </conditionalFormatting>
  <conditionalFormatting sqref="E25:F41 Y12:Y41 F12:F34">
    <cfRule type="duplicateValues" dxfId="9" priority="33"/>
  </conditionalFormatting>
  <conditionalFormatting sqref="H11:Y41 F11:F41">
    <cfRule type="expression" dxfId="8" priority="11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4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E25:E41 E17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E25:E26</xm:sqref>
        </x14:dataValidation>
        <x14:dataValidation type="list" errorStyle="information" allowBlank="1" showInputMessage="1" showErrorMessage="1" errorTitle="Achtung!" error="keine BDEW Nomenklatur" xr:uid="{00000000-0002-0000-0500-000005000000}">
          <x14:formula1>
            <xm:f>'J:\EnDaNet\05 Netznutzungsmanagement\_Gas\Schuettorf\sonstiges\[2018-slp-gas-verfahrensspezifische-parameter-netzgebiet-emsbueren__1_.xlsx]BDEW-Standard'!#REF!</xm:f>
          </x14:formula1>
          <xm:sqref>E12:E16 E18:E24</xm:sqref>
        </x14:dataValidation>
        <x14:dataValidation type="list" allowBlank="1" showInputMessage="1" showErrorMessage="1" xr:uid="{00000000-0002-0000-0500-000006000000}">
          <x14:formula1>
            <xm:f>'J:\EnDaNet\05 Netznutzungsmanagement\_Gas\Schuettorf\sonstiges\[2018-slp-gas-verfahrensspezifische-parameter-netzgebiet-emsbueren__1_.xlsx]BDEW-Standard'!#REF!</xm:f>
          </x14:formula1>
          <xm:sqref>E12:E16 E18:E24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100" zoomScale="80" zoomScaleNormal="80" workbookViewId="0">
      <selection activeCell="E142" sqref="E142:I142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5">
        <v>42173</v>
      </c>
      <c r="D1" s="8" t="s">
        <v>451</v>
      </c>
      <c r="F1" s="176" t="s">
        <v>545</v>
      </c>
      <c r="N1" s="11"/>
    </row>
    <row r="2" spans="1:14" ht="25.5">
      <c r="A2" s="177" t="s">
        <v>268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F13" sqref="F13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6.2851562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Stadtwerke Schüttorf - Emsbüren GmbH</v>
      </c>
      <c r="D4" s="57"/>
      <c r="G4" s="57"/>
      <c r="I4" s="57"/>
      <c r="J4" s="58"/>
      <c r="M4" s="66" t="s">
        <v>539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441</v>
      </c>
      <c r="C5" s="44" t="str">
        <f>Netzbetreiber!D29</f>
        <v>THE0NKH700115000</v>
      </c>
      <c r="D5" s="25"/>
      <c r="E5" s="57"/>
      <c r="F5" s="57"/>
      <c r="G5" s="57"/>
      <c r="I5" s="57"/>
      <c r="J5" s="57"/>
      <c r="K5" s="57"/>
      <c r="L5" s="57"/>
      <c r="M5" s="67" t="s">
        <v>507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439</v>
      </c>
      <c r="C6" s="303">
        <f>Netzbetreiber!$D$11</f>
        <v>9870011500005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133</v>
      </c>
      <c r="C7" s="42">
        <f>Netzbetreiber!$D$6</f>
        <v>46023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90" t="s">
        <v>455</v>
      </c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2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295" t="s">
        <v>583</v>
      </c>
      <c r="C10" s="296"/>
      <c r="D10" s="72">
        <v>2</v>
      </c>
      <c r="E10" s="73" t="str">
        <f>IF(ISERROR(HLOOKUP(E$11,$M$9:$AD$35,$D10,0)),"",HLOOKUP(E$11,$M$9:$AD$35,$D10,0))</f>
        <v/>
      </c>
      <c r="F10" s="293" t="s">
        <v>395</v>
      </c>
      <c r="G10" s="293"/>
      <c r="H10" s="293"/>
      <c r="I10" s="293"/>
      <c r="J10" s="293"/>
      <c r="K10" s="293"/>
      <c r="L10" s="294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.7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0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1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396</v>
      </c>
      <c r="C12" s="88"/>
      <c r="D12" s="89">
        <v>4</v>
      </c>
      <c r="E12" s="261">
        <f>MIN(SUMPRODUCT($M$11:$AD$11,M12:AD12),1)</f>
        <v>1</v>
      </c>
      <c r="F12" s="258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397</v>
      </c>
      <c r="C13" s="95"/>
      <c r="D13" s="89">
        <v>5</v>
      </c>
      <c r="E13" s="262">
        <f t="shared" ref="E13:E35" si="0">MIN(SUMPRODUCT($M$11:$AD$11,M13:AD13),1)</f>
        <v>0</v>
      </c>
      <c r="F13" s="259" t="s">
        <v>399</v>
      </c>
      <c r="G13" s="61" t="s">
        <v>399</v>
      </c>
      <c r="H13" s="61" t="s">
        <v>399</v>
      </c>
      <c r="I13" s="61" t="s">
        <v>399</v>
      </c>
      <c r="J13" s="61" t="s">
        <v>399</v>
      </c>
      <c r="K13" s="61" t="s">
        <v>399</v>
      </c>
      <c r="L13" s="62" t="s">
        <v>399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398</v>
      </c>
      <c r="C14" s="95"/>
      <c r="D14" s="89">
        <v>6</v>
      </c>
      <c r="E14" s="262">
        <f t="shared" si="0"/>
        <v>0</v>
      </c>
      <c r="F14" s="259" t="s">
        <v>399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400</v>
      </c>
      <c r="C15" s="95"/>
      <c r="D15" s="89">
        <v>7</v>
      </c>
      <c r="E15" s="262">
        <f t="shared" si="0"/>
        <v>0</v>
      </c>
      <c r="F15" s="259" t="s">
        <v>399</v>
      </c>
      <c r="G15" s="61" t="s">
        <v>399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412</v>
      </c>
      <c r="C16" s="95"/>
      <c r="D16" s="89">
        <v>8</v>
      </c>
      <c r="E16" s="262">
        <f t="shared" si="0"/>
        <v>1</v>
      </c>
      <c r="F16" s="259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413</v>
      </c>
      <c r="C17" s="95"/>
      <c r="D17" s="89">
        <v>9</v>
      </c>
      <c r="E17" s="262">
        <f t="shared" si="0"/>
        <v>1</v>
      </c>
      <c r="F17" s="259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414</v>
      </c>
      <c r="C18" s="95"/>
      <c r="D18" s="89">
        <v>10</v>
      </c>
      <c r="E18" s="262">
        <f t="shared" si="0"/>
        <v>1</v>
      </c>
      <c r="F18" s="259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651</v>
      </c>
      <c r="C19" s="95"/>
      <c r="D19" s="89"/>
      <c r="E19" s="262">
        <v>0</v>
      </c>
      <c r="F19" s="259" t="s">
        <v>399</v>
      </c>
      <c r="G19" s="61" t="s">
        <v>399</v>
      </c>
      <c r="H19" s="61" t="s">
        <v>399</v>
      </c>
      <c r="I19" s="61" t="s">
        <v>399</v>
      </c>
      <c r="J19" s="61" t="s">
        <v>399</v>
      </c>
      <c r="K19" s="61" t="s">
        <v>399</v>
      </c>
      <c r="L19" s="62" t="s">
        <v>399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5">
      <c r="B20" s="99" t="s">
        <v>401</v>
      </c>
      <c r="C20" s="95"/>
      <c r="D20" s="89">
        <v>11</v>
      </c>
      <c r="E20" s="262">
        <f t="shared" si="0"/>
        <v>1</v>
      </c>
      <c r="F20" s="259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649</v>
      </c>
      <c r="C21" s="95"/>
      <c r="D21" s="89">
        <v>12</v>
      </c>
      <c r="E21" s="262">
        <f t="shared" si="0"/>
        <v>1</v>
      </c>
      <c r="F21" s="259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415</v>
      </c>
      <c r="C22" s="95"/>
      <c r="D22" s="89">
        <v>13</v>
      </c>
      <c r="E22" s="262">
        <f t="shared" si="0"/>
        <v>1</v>
      </c>
      <c r="F22" s="259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416</v>
      </c>
      <c r="C23" s="95"/>
      <c r="D23" s="89">
        <v>14</v>
      </c>
      <c r="E23" s="262">
        <f t="shared" si="0"/>
        <v>1</v>
      </c>
      <c r="F23" s="259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417</v>
      </c>
      <c r="C24" s="95"/>
      <c r="D24" s="89">
        <v>15</v>
      </c>
      <c r="E24" s="262">
        <f t="shared" si="0"/>
        <v>0</v>
      </c>
      <c r="F24" s="259" t="s">
        <v>399</v>
      </c>
      <c r="G24" s="61" t="s">
        <v>399</v>
      </c>
      <c r="H24" s="61" t="s">
        <v>399</v>
      </c>
      <c r="I24" s="61" t="s">
        <v>399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402</v>
      </c>
      <c r="C25" s="95"/>
      <c r="D25" s="89">
        <v>16</v>
      </c>
      <c r="E25" s="262">
        <f t="shared" si="0"/>
        <v>0</v>
      </c>
      <c r="F25" s="259" t="s">
        <v>399</v>
      </c>
      <c r="G25" s="61" t="s">
        <v>399</v>
      </c>
      <c r="H25" s="61" t="s">
        <v>399</v>
      </c>
      <c r="I25" s="61" t="s">
        <v>399</v>
      </c>
      <c r="J25" s="61" t="s">
        <v>399</v>
      </c>
      <c r="K25" s="61" t="s">
        <v>399</v>
      </c>
      <c r="L25" s="62" t="s">
        <v>399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403</v>
      </c>
      <c r="C26" s="95"/>
      <c r="D26" s="89">
        <v>17</v>
      </c>
      <c r="E26" s="262">
        <f t="shared" si="0"/>
        <v>0</v>
      </c>
      <c r="F26" s="259" t="s">
        <v>399</v>
      </c>
      <c r="G26" s="61" t="s">
        <v>399</v>
      </c>
      <c r="H26" s="61" t="s">
        <v>399</v>
      </c>
      <c r="I26" s="61" t="s">
        <v>399</v>
      </c>
      <c r="J26" s="61" t="s">
        <v>399</v>
      </c>
      <c r="K26" s="61" t="s">
        <v>399</v>
      </c>
      <c r="L26" s="62" t="s">
        <v>399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650</v>
      </c>
      <c r="C27" s="95"/>
      <c r="D27" s="89"/>
      <c r="E27" s="262">
        <v>0</v>
      </c>
      <c r="F27" s="259" t="s">
        <v>399</v>
      </c>
      <c r="G27" s="61" t="s">
        <v>399</v>
      </c>
      <c r="H27" s="61" t="s">
        <v>399</v>
      </c>
      <c r="I27" s="61" t="s">
        <v>399</v>
      </c>
      <c r="J27" s="61" t="s">
        <v>399</v>
      </c>
      <c r="K27" s="61" t="s">
        <v>399</v>
      </c>
      <c r="L27" s="62" t="s">
        <v>399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404</v>
      </c>
      <c r="C28" s="95"/>
      <c r="D28" s="89">
        <v>18</v>
      </c>
      <c r="E28" s="262">
        <f t="shared" si="0"/>
        <v>1</v>
      </c>
      <c r="F28" s="259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405</v>
      </c>
      <c r="C29" s="95"/>
      <c r="D29" s="89">
        <v>19</v>
      </c>
      <c r="E29" s="262">
        <v>1</v>
      </c>
      <c r="F29" s="259" t="s">
        <v>392</v>
      </c>
      <c r="G29" s="259" t="s">
        <v>392</v>
      </c>
      <c r="H29" s="259" t="s">
        <v>392</v>
      </c>
      <c r="I29" s="259" t="s">
        <v>392</v>
      </c>
      <c r="J29" s="259" t="s">
        <v>392</v>
      </c>
      <c r="K29" s="259" t="s">
        <v>392</v>
      </c>
      <c r="L29" s="259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406</v>
      </c>
      <c r="C30" s="95"/>
      <c r="D30" s="89">
        <v>20</v>
      </c>
      <c r="E30" s="262">
        <f t="shared" si="0"/>
        <v>0</v>
      </c>
      <c r="F30" s="259" t="s">
        <v>399</v>
      </c>
      <c r="G30" s="61" t="s">
        <v>399</v>
      </c>
      <c r="H30" s="61" t="s">
        <v>399</v>
      </c>
      <c r="I30" s="61" t="s">
        <v>399</v>
      </c>
      <c r="J30" s="61" t="s">
        <v>399</v>
      </c>
      <c r="K30" s="61" t="s">
        <v>399</v>
      </c>
      <c r="L30" s="62" t="s">
        <v>399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407</v>
      </c>
      <c r="C31" s="95"/>
      <c r="D31" s="89">
        <v>21</v>
      </c>
      <c r="E31" s="262">
        <f t="shared" si="0"/>
        <v>0</v>
      </c>
      <c r="F31" s="259" t="s">
        <v>399</v>
      </c>
      <c r="G31" s="61" t="s">
        <v>399</v>
      </c>
      <c r="H31" s="61" t="s">
        <v>399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408</v>
      </c>
      <c r="C32" s="95"/>
      <c r="D32" s="89">
        <v>22</v>
      </c>
      <c r="E32" s="262">
        <f t="shared" si="0"/>
        <v>0</v>
      </c>
      <c r="F32" s="259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409</v>
      </c>
      <c r="C33" s="95"/>
      <c r="D33" s="89">
        <v>23</v>
      </c>
      <c r="E33" s="262">
        <f t="shared" si="0"/>
        <v>1</v>
      </c>
      <c r="F33" s="259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410</v>
      </c>
      <c r="C34" s="95"/>
      <c r="D34" s="89">
        <v>24</v>
      </c>
      <c r="E34" s="262">
        <f t="shared" si="0"/>
        <v>1</v>
      </c>
      <c r="F34" s="259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411</v>
      </c>
      <c r="C35" s="101"/>
      <c r="D35" s="102">
        <v>25</v>
      </c>
      <c r="E35" s="263">
        <f t="shared" si="0"/>
        <v>0</v>
      </c>
      <c r="F35" s="260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452</v>
      </c>
      <c r="B1"/>
      <c r="D1" s="176" t="s">
        <v>545</v>
      </c>
      <c r="O1" s="193"/>
    </row>
    <row r="2" spans="1:16">
      <c r="A2" s="193"/>
      <c r="B2" s="193" t="s">
        <v>453</v>
      </c>
    </row>
    <row r="3" spans="1:16" ht="20.100000000000001" customHeight="1">
      <c r="A3" s="297" t="s">
        <v>249</v>
      </c>
      <c r="B3" s="194" t="s">
        <v>86</v>
      </c>
      <c r="C3" s="195"/>
      <c r="D3" s="299" t="s">
        <v>454</v>
      </c>
      <c r="E3" s="300"/>
      <c r="F3" s="300"/>
      <c r="G3" s="300"/>
      <c r="H3" s="300"/>
      <c r="I3" s="300"/>
      <c r="J3" s="301"/>
      <c r="K3" s="196"/>
      <c r="L3" s="196"/>
      <c r="M3" s="196"/>
      <c r="N3" s="196"/>
      <c r="O3" s="153"/>
      <c r="P3" s="196"/>
    </row>
    <row r="4" spans="1:16" ht="20.100000000000001" customHeight="1">
      <c r="A4" s="298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251</v>
      </c>
      <c r="P5" s="203" t="s">
        <v>250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365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365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254</v>
      </c>
      <c r="O11" s="97" t="s">
        <v>252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254</v>
      </c>
      <c r="O12" s="97" t="s">
        <v>252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254</v>
      </c>
      <c r="O13" s="97" t="s">
        <v>252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254</v>
      </c>
      <c r="O14" s="97" t="s">
        <v>252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254</v>
      </c>
      <c r="O15" s="97" t="s">
        <v>252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254</v>
      </c>
      <c r="O16" s="97" t="s">
        <v>252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254</v>
      </c>
      <c r="O17" s="97" t="s">
        <v>253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254</v>
      </c>
      <c r="O18" s="97" t="s">
        <v>253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254</v>
      </c>
      <c r="O19" s="97" t="s">
        <v>253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254</v>
      </c>
      <c r="O20" s="97" t="s">
        <v>253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254</v>
      </c>
      <c r="O21" s="97" t="s">
        <v>253</v>
      </c>
      <c r="P21" s="199" t="s">
        <v>117</v>
      </c>
    </row>
    <row r="22" spans="1:16" ht="25.5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254</v>
      </c>
      <c r="O22" s="97" t="s">
        <v>253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818b9f00-f4e5-4488-840e-6084e0f1107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Brinkmann, K.</cp:lastModifiedBy>
  <cp:lastPrinted>2015-03-20T22:59:10Z</cp:lastPrinted>
  <dcterms:created xsi:type="dcterms:W3CDTF">2015-01-15T05:25:41Z</dcterms:created>
  <dcterms:modified xsi:type="dcterms:W3CDTF">2026-02-25T14:15:23Z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